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xr:revisionPtr revIDLastSave="0" documentId="13_ncr:1_{BFC6E8A5-879C-4C6D-8D5D-BB0FCA198F65}" xr6:coauthVersionLast="45" xr6:coauthVersionMax="45" xr10:uidLastSave="{00000000-0000-0000-0000-000000000000}"/>
  <bookViews>
    <workbookView xWindow="-25320" yWindow="-4440" windowWidth="25440" windowHeight="15990" xr2:uid="{33D7F840-1A5B-4094-8968-0831214C879A}"/>
  </bookViews>
  <sheets>
    <sheet name="Heros &amp; Monsters" sheetId="1" r:id="rId1"/>
    <sheet name="Weapons &amp; Elemental list" sheetId="2" r:id="rId2"/>
  </sheets>
  <definedNames>
    <definedName name="Elemental">ElementList[Elemental]</definedName>
    <definedName name="weapon">WeaponStat[Weapon]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4" i="2" l="1"/>
  <c r="Q5" i="2"/>
  <c r="Q6" i="2"/>
  <c r="Q7" i="2"/>
  <c r="Q8" i="2"/>
  <c r="G4" i="2"/>
  <c r="F4" i="2"/>
  <c r="F7" i="2"/>
  <c r="F8" i="2"/>
  <c r="F12" i="2"/>
  <c r="F6" i="2"/>
  <c r="F16" i="2"/>
  <c r="F11" i="2"/>
  <c r="F17" i="2"/>
  <c r="F9" i="2"/>
  <c r="F10" i="2"/>
  <c r="F15" i="2"/>
  <c r="F14" i="2"/>
  <c r="F5" i="2"/>
  <c r="F18" i="2"/>
  <c r="F13" i="2"/>
  <c r="H4" i="2" l="1"/>
  <c r="P14" i="1"/>
  <c r="H14" i="1"/>
  <c r="H15" i="1"/>
  <c r="H16" i="1"/>
  <c r="H19" i="1"/>
  <c r="H18" i="1"/>
  <c r="H17" i="1"/>
  <c r="H21" i="1"/>
  <c r="H20" i="1"/>
  <c r="H11" i="1"/>
  <c r="H12" i="1"/>
  <c r="H7" i="1"/>
  <c r="H9" i="1"/>
  <c r="H10" i="1"/>
  <c r="H13" i="1"/>
  <c r="H8" i="1"/>
  <c r="H6" i="1"/>
  <c r="G14" i="1"/>
  <c r="G15" i="1"/>
  <c r="G16" i="1"/>
  <c r="G19" i="1"/>
  <c r="G18" i="1"/>
  <c r="G17" i="1"/>
  <c r="G21" i="1"/>
  <c r="G20" i="1"/>
  <c r="G11" i="1"/>
  <c r="G12" i="1"/>
  <c r="G7" i="1"/>
  <c r="G9" i="1"/>
  <c r="G10" i="1"/>
  <c r="G13" i="1"/>
  <c r="G8" i="1"/>
  <c r="G6" i="1"/>
  <c r="F14" i="1"/>
  <c r="Q14" i="1" s="1"/>
  <c r="F15" i="1"/>
  <c r="Q15" i="1" s="1"/>
  <c r="F16" i="1"/>
  <c r="F19" i="1"/>
  <c r="Q19" i="1" s="1"/>
  <c r="F18" i="1"/>
  <c r="F17" i="1"/>
  <c r="Q17" i="1" s="1"/>
  <c r="F21" i="1"/>
  <c r="F20" i="1"/>
  <c r="Q20" i="1" s="1"/>
  <c r="F11" i="1"/>
  <c r="F12" i="1"/>
  <c r="Q12" i="1" s="1"/>
  <c r="F7" i="1"/>
  <c r="F9" i="1"/>
  <c r="Q9" i="1" s="1"/>
  <c r="F10" i="1"/>
  <c r="F13" i="1"/>
  <c r="Q13" i="1" s="1"/>
  <c r="F8" i="1"/>
  <c r="F6" i="1"/>
  <c r="Q6" i="1" s="1"/>
  <c r="E14" i="1"/>
  <c r="E15" i="1"/>
  <c r="E16" i="1"/>
  <c r="E19" i="1"/>
  <c r="E18" i="1"/>
  <c r="E17" i="1"/>
  <c r="E21" i="1"/>
  <c r="R21" i="1" s="1"/>
  <c r="E20" i="1"/>
  <c r="E11" i="1"/>
  <c r="E12" i="1"/>
  <c r="E7" i="1"/>
  <c r="E9" i="1"/>
  <c r="E10" i="1"/>
  <c r="E13" i="1"/>
  <c r="E8" i="1"/>
  <c r="R8" i="1" s="1"/>
  <c r="E6" i="1"/>
  <c r="R8" i="2"/>
  <c r="S8" i="2"/>
  <c r="R4" i="2"/>
  <c r="R5" i="2"/>
  <c r="R6" i="2"/>
  <c r="R7" i="2"/>
  <c r="S4" i="2"/>
  <c r="S5" i="2"/>
  <c r="S6" i="2"/>
  <c r="S7" i="2"/>
  <c r="H13" i="2"/>
  <c r="G13" i="2"/>
  <c r="H18" i="2"/>
  <c r="G18" i="2"/>
  <c r="H5" i="2"/>
  <c r="G5" i="2"/>
  <c r="H14" i="2"/>
  <c r="G14" i="2"/>
  <c r="H15" i="2"/>
  <c r="G15" i="2"/>
  <c r="H10" i="2"/>
  <c r="G10" i="2"/>
  <c r="H9" i="2"/>
  <c r="G9" i="2"/>
  <c r="H17" i="2"/>
  <c r="G17" i="2"/>
  <c r="H11" i="2"/>
  <c r="G11" i="2"/>
  <c r="H16" i="2"/>
  <c r="G16" i="2"/>
  <c r="H6" i="2"/>
  <c r="G6" i="2"/>
  <c r="H12" i="2"/>
  <c r="G12" i="2"/>
  <c r="H8" i="2"/>
  <c r="G8" i="2"/>
  <c r="H7" i="2"/>
  <c r="G7" i="2"/>
  <c r="P10" i="1"/>
  <c r="P15" i="1"/>
  <c r="P16" i="1"/>
  <c r="P19" i="1"/>
  <c r="P18" i="1"/>
  <c r="P17" i="1"/>
  <c r="P21" i="1"/>
  <c r="P20" i="1"/>
  <c r="P11" i="1"/>
  <c r="P12" i="1"/>
  <c r="P7" i="1"/>
  <c r="P9" i="1"/>
  <c r="P13" i="1"/>
  <c r="P8" i="1"/>
  <c r="P6" i="1"/>
  <c r="S6" i="1" l="1"/>
  <c r="S13" i="1"/>
  <c r="S9" i="1"/>
  <c r="S12" i="1"/>
  <c r="S20" i="1"/>
  <c r="S17" i="1"/>
  <c r="S19" i="1"/>
  <c r="S15" i="1"/>
  <c r="S14" i="1"/>
  <c r="T14" i="1"/>
  <c r="Q8" i="1"/>
  <c r="Q10" i="1"/>
  <c r="Q11" i="1"/>
  <c r="Q21" i="1"/>
  <c r="Q18" i="1"/>
  <c r="Q16" i="1"/>
  <c r="Q7" i="1"/>
  <c r="R7" i="1"/>
  <c r="R10" i="1"/>
  <c r="R11" i="1"/>
  <c r="R18" i="1"/>
  <c r="R16" i="1"/>
  <c r="T6" i="1"/>
  <c r="U6" i="1" s="1"/>
  <c r="T13" i="1"/>
  <c r="U13" i="1" s="1"/>
  <c r="T7" i="1"/>
  <c r="T11" i="1"/>
  <c r="T21" i="1"/>
  <c r="T18" i="1"/>
  <c r="T16" i="1"/>
  <c r="T8" i="1"/>
  <c r="T10" i="1"/>
  <c r="T9" i="1"/>
  <c r="U9" i="1" s="1"/>
  <c r="T12" i="1"/>
  <c r="U12" i="1" s="1"/>
  <c r="T20" i="1"/>
  <c r="U20" i="1" s="1"/>
  <c r="T17" i="1"/>
  <c r="U17" i="1" s="1"/>
  <c r="T19" i="1"/>
  <c r="U19" i="1" s="1"/>
  <c r="T15" i="1"/>
  <c r="U15" i="1" s="1"/>
  <c r="R6" i="1"/>
  <c r="R13" i="1"/>
  <c r="R9" i="1"/>
  <c r="R12" i="1"/>
  <c r="R20" i="1"/>
  <c r="R17" i="1"/>
  <c r="R19" i="1"/>
  <c r="R15" i="1"/>
  <c r="R14" i="1"/>
  <c r="S21" i="1" l="1"/>
  <c r="S10" i="1"/>
  <c r="S7" i="1"/>
  <c r="S18" i="1"/>
  <c r="S11" i="1"/>
  <c r="S8" i="1"/>
  <c r="S16" i="1"/>
  <c r="U10" i="1"/>
  <c r="U16" i="1"/>
  <c r="U21" i="1"/>
  <c r="U8" i="1"/>
  <c r="U18" i="1"/>
  <c r="U11" i="1"/>
  <c r="U14" i="1"/>
  <c r="U7" i="1"/>
  <c r="V8" i="1"/>
  <c r="V18" i="1"/>
  <c r="V11" i="1"/>
  <c r="V10" i="1"/>
  <c r="V21" i="1"/>
  <c r="V16" i="1"/>
  <c r="V7" i="1"/>
  <c r="V14" i="1"/>
  <c r="V6" i="1"/>
  <c r="V19" i="1"/>
  <c r="V20" i="1"/>
  <c r="V9" i="1"/>
  <c r="V13" i="1"/>
  <c r="V15" i="1"/>
  <c r="V17" i="1"/>
  <c r="V12" i="1"/>
</calcChain>
</file>

<file path=xl/sharedStrings.xml><?xml version="1.0" encoding="utf-8"?>
<sst xmlns="http://schemas.openxmlformats.org/spreadsheetml/2006/main" count="186" uniqueCount="88">
  <si>
    <t>Lifespan</t>
  </si>
  <si>
    <t>Movement</t>
  </si>
  <si>
    <t>AI</t>
  </si>
  <si>
    <t>Weapon</t>
  </si>
  <si>
    <t>Type</t>
  </si>
  <si>
    <t>Force</t>
  </si>
  <si>
    <t>Speed</t>
  </si>
  <si>
    <t>Interval</t>
  </si>
  <si>
    <t>Duration</t>
  </si>
  <si>
    <t>Range</t>
  </si>
  <si>
    <t>Attacking Range</t>
  </si>
  <si>
    <t>Fleeing Range</t>
  </si>
  <si>
    <t>Dodging Thickness</t>
  </si>
  <si>
    <t>Unicorn</t>
  </si>
  <si>
    <t>Energy Bolt</t>
  </si>
  <si>
    <t>Ground</t>
  </si>
  <si>
    <t>Wizard</t>
  </si>
  <si>
    <t>Fireball</t>
  </si>
  <si>
    <t>Archer</t>
  </si>
  <si>
    <t>Arrow</t>
  </si>
  <si>
    <t>Golem</t>
  </si>
  <si>
    <t>Boulder</t>
  </si>
  <si>
    <t>Valkyrie</t>
  </si>
  <si>
    <t>Fly</t>
  </si>
  <si>
    <t>Djinni</t>
  </si>
  <si>
    <t>Whirlwind</t>
  </si>
  <si>
    <t>Fiery Explosion</t>
  </si>
  <si>
    <t>Knight</t>
  </si>
  <si>
    <t>Sword</t>
  </si>
  <si>
    <t>Basilisk</t>
  </si>
  <si>
    <t>Eye Beam</t>
  </si>
  <si>
    <t>Sorceress</t>
  </si>
  <si>
    <t>Lightning Bolt</t>
  </si>
  <si>
    <t>Manticore</t>
  </si>
  <si>
    <t>Tail Spikes</t>
  </si>
  <si>
    <t>Troll</t>
  </si>
  <si>
    <t>Shapeshifter</t>
  </si>
  <si>
    <t>Dragon</t>
  </si>
  <si>
    <t>Fiery Breath</t>
  </si>
  <si>
    <t>Banshee</t>
  </si>
  <si>
    <t>Scream</t>
  </si>
  <si>
    <t>Goblin</t>
  </si>
  <si>
    <t>Air</t>
  </si>
  <si>
    <t>Fire</t>
  </si>
  <si>
    <t>Earth</t>
  </si>
  <si>
    <t>Water</t>
  </si>
  <si>
    <t>Name</t>
  </si>
  <si>
    <t>Speed3</t>
  </si>
  <si>
    <t>ATACK</t>
  </si>
  <si>
    <t>Archon Adventures Stats</t>
  </si>
  <si>
    <t>Spear</t>
  </si>
  <si>
    <t>Phoenix</t>
  </si>
  <si>
    <t>Zdrowie</t>
  </si>
  <si>
    <t>Zręczność</t>
  </si>
  <si>
    <t>Obrażenia</t>
  </si>
  <si>
    <t>Spell</t>
  </si>
  <si>
    <t>Weapons &amp; Elemental list</t>
  </si>
  <si>
    <t>Site</t>
  </si>
  <si>
    <t>Light</t>
  </si>
  <si>
    <t>Dark</t>
  </si>
  <si>
    <t>Extra Elemental</t>
  </si>
  <si>
    <t>None</t>
  </si>
  <si>
    <t>Trwanie</t>
  </si>
  <si>
    <t>Przerwa</t>
  </si>
  <si>
    <t>Prędkość</t>
  </si>
  <si>
    <t>Siła</t>
  </si>
  <si>
    <t>Żywioł</t>
  </si>
  <si>
    <t>Zasięg</t>
  </si>
  <si>
    <t>Rodzaj</t>
  </si>
  <si>
    <t>Broń</t>
  </si>
  <si>
    <t>Życie</t>
  </si>
  <si>
    <t>Defense</t>
  </si>
  <si>
    <t>Obrona</t>
  </si>
  <si>
    <t>Damage</t>
  </si>
  <si>
    <t>Szansa na odparcie ciosu</t>
  </si>
  <si>
    <t>Hero</t>
  </si>
  <si>
    <t>Hand</t>
  </si>
  <si>
    <t>Maximum damage chance</t>
  </si>
  <si>
    <t>Fight back chance</t>
  </si>
  <si>
    <t>Szansa na maksymalne obrażenia</t>
  </si>
  <si>
    <t>Elemental</t>
  </si>
  <si>
    <t>Q1</t>
  </si>
  <si>
    <t>Q2</t>
  </si>
  <si>
    <t>Dexterity</t>
  </si>
  <si>
    <t>Health</t>
  </si>
  <si>
    <t>Rank</t>
  </si>
  <si>
    <t>Ranga</t>
  </si>
  <si>
    <t>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</si>
</sst>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C2FFB3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8"/>
      <color rgb="FFC2FFB3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C9947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theme="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2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indent="2"/>
    </xf>
    <xf numFmtId="9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4" borderId="0" xfId="0" applyFont="1" applyFill="1"/>
    <xf numFmtId="0" fontId="8" fillId="4" borderId="0" xfId="0" applyFont="1" applyFill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indent="2"/>
    </xf>
    <xf numFmtId="9" fontId="0" fillId="0" borderId="0" xfId="0" applyNumberFormat="1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2" xfId="0" applyBorder="1"/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9" fontId="5" fillId="0" borderId="2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9" fontId="0" fillId="0" borderId="2" xfId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9" fontId="0" fillId="0" borderId="3" xfId="1" applyFont="1" applyFill="1" applyBorder="1" applyAlignment="1">
      <alignment horizontal="center" vertical="center"/>
    </xf>
    <xf numFmtId="0" fontId="0" fillId="0" borderId="10" xfId="0" applyBorder="1"/>
    <xf numFmtId="0" fontId="0" fillId="0" borderId="6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justify" vertical="center"/>
    </xf>
    <xf numFmtId="0" fontId="0" fillId="0" borderId="8" xfId="0" applyFont="1" applyFill="1" applyBorder="1" applyAlignment="1">
      <alignment horizontal="justify" vertical="center"/>
    </xf>
    <xf numFmtId="0" fontId="0" fillId="0" borderId="10" xfId="0" applyFont="1" applyFill="1" applyBorder="1" applyAlignment="1">
      <alignment horizontal="justify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justify" vertical="center"/>
    </xf>
    <xf numFmtId="0" fontId="0" fillId="0" borderId="7" xfId="0" applyFont="1" applyFill="1" applyBorder="1" applyAlignment="1">
      <alignment horizontal="justify" vertical="center"/>
    </xf>
    <xf numFmtId="0" fontId="0" fillId="0" borderId="9" xfId="0" applyFont="1" applyFill="1" applyBorder="1" applyAlignment="1">
      <alignment horizontal="justify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9" fontId="0" fillId="0" borderId="15" xfId="0" applyNumberFormat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1" fontId="0" fillId="0" borderId="16" xfId="0" applyNumberFormat="1" applyFont="1" applyFill="1" applyBorder="1" applyAlignment="1">
      <alignment horizontal="center" vertical="center"/>
    </xf>
    <xf numFmtId="1" fontId="0" fillId="0" borderId="17" xfId="0" applyNumberFormat="1" applyFont="1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0" fontId="0" fillId="0" borderId="8" xfId="0" applyBorder="1"/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9" fontId="5" fillId="0" borderId="8" xfId="0" applyNumberFormat="1" applyFont="1" applyFill="1" applyBorder="1" applyAlignment="1">
      <alignment horizontal="center" vertical="center"/>
    </xf>
    <xf numFmtId="9" fontId="0" fillId="0" borderId="8" xfId="0" applyNumberFormat="1" applyFont="1" applyFill="1" applyBorder="1" applyAlignment="1">
      <alignment horizontal="center" vertical="center"/>
    </xf>
    <xf numFmtId="9" fontId="0" fillId="0" borderId="10" xfId="0" applyNumberFormat="1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1" fillId="4" borderId="0" xfId="0" applyFont="1" applyFill="1"/>
    <xf numFmtId="9" fontId="0" fillId="0" borderId="17" xfId="1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9" fillId="0" borderId="9" xfId="0" applyFont="1" applyFill="1" applyBorder="1" applyAlignment="1">
      <alignment horizontal="center" vertical="center"/>
    </xf>
    <xf numFmtId="1" fontId="9" fillId="0" borderId="10" xfId="0" applyNumberFormat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left" vertical="center"/>
    </xf>
    <xf numFmtId="0" fontId="11" fillId="5" borderId="1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border diagonalUp="0" diagonalDown="0" outline="0">
        <left style="thick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alignment horizontal="left" vertical="center" textRotation="0" wrapText="0" relativeIndent="-1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charset val="238"/>
        <scheme val="minor"/>
      </font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3" formatCode="0%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top style="thin">
          <color theme="0"/>
        </top>
      </border>
    </dxf>
    <dxf>
      <border>
        <bottom style="thin">
          <color theme="0"/>
        </bottom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</dxf>
    <dxf>
      <border outline="0">
        <top style="thin">
          <color theme="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0</xdr:rowOff>
    </xdr:from>
    <xdr:ext cx="152400" cy="76200"/>
    <xdr:pic>
      <xdr:nvPicPr>
        <xdr:cNvPr id="2" name="Obraz 1" descr="Energy Bolt">
          <a:extLst>
            <a:ext uri="{FF2B5EF4-FFF2-40B4-BE49-F238E27FC236}">
              <a16:creationId xmlns:a16="http://schemas.microsoft.com/office/drawing/2014/main" id="{46A8D219-0B89-4D4A-913E-B3D5A433FEB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8867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152400" cy="76200"/>
    <xdr:pic>
      <xdr:nvPicPr>
        <xdr:cNvPr id="3" name="Obraz 2" descr="Fireball">
          <a:extLst>
            <a:ext uri="{FF2B5EF4-FFF2-40B4-BE49-F238E27FC236}">
              <a16:creationId xmlns:a16="http://schemas.microsoft.com/office/drawing/2014/main" id="{5449D3B5-5BC0-42FF-ADEE-2EE11F7A175D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6485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152400" cy="76200"/>
    <xdr:pic>
      <xdr:nvPicPr>
        <xdr:cNvPr id="4" name="Obraz 3" descr="Arrow">
          <a:extLst>
            <a:ext uri="{FF2B5EF4-FFF2-40B4-BE49-F238E27FC236}">
              <a16:creationId xmlns:a16="http://schemas.microsoft.com/office/drawing/2014/main" id="{51F71DD5-B464-4658-8048-FD9BFCB9568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6934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152400" cy="76200"/>
    <xdr:pic>
      <xdr:nvPicPr>
        <xdr:cNvPr id="5" name="Obraz 4" descr="Boulder">
          <a:extLst>
            <a:ext uri="{FF2B5EF4-FFF2-40B4-BE49-F238E27FC236}">
              <a16:creationId xmlns:a16="http://schemas.microsoft.com/office/drawing/2014/main" id="{8802E85C-4F04-4A25-BE72-ADAF69822286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1248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152400" cy="76200"/>
    <xdr:pic>
      <xdr:nvPicPr>
        <xdr:cNvPr id="6" name="Obraz 5" descr="Magic Spear">
          <a:extLst>
            <a:ext uri="{FF2B5EF4-FFF2-40B4-BE49-F238E27FC236}">
              <a16:creationId xmlns:a16="http://schemas.microsoft.com/office/drawing/2014/main" id="{053690C6-7C16-4ADF-99DD-CCCCFE698C59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1723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152400" cy="76200"/>
    <xdr:pic>
      <xdr:nvPicPr>
        <xdr:cNvPr id="7" name="Obraz 6" descr="Whirlwind">
          <a:extLst>
            <a:ext uri="{FF2B5EF4-FFF2-40B4-BE49-F238E27FC236}">
              <a16:creationId xmlns:a16="http://schemas.microsoft.com/office/drawing/2014/main" id="{7C768D11-6F0F-4CB5-BFD0-5D764FED37C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3629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228600" cy="114300"/>
    <xdr:pic>
      <xdr:nvPicPr>
        <xdr:cNvPr id="8" name="Obraz 7" descr="Fiery Explosion">
          <a:extLst>
            <a:ext uri="{FF2B5EF4-FFF2-40B4-BE49-F238E27FC236}">
              <a16:creationId xmlns:a16="http://schemas.microsoft.com/office/drawing/2014/main" id="{5DEC6846-EE64-408A-B77D-C084DA70F45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601075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152400" cy="76200"/>
    <xdr:pic>
      <xdr:nvPicPr>
        <xdr:cNvPr id="9" name="Obraz 8" descr="Sword">
          <a:extLst>
            <a:ext uri="{FF2B5EF4-FFF2-40B4-BE49-F238E27FC236}">
              <a16:creationId xmlns:a16="http://schemas.microsoft.com/office/drawing/2014/main" id="{6B66A6AF-07E3-4F86-83E5-C9463732E8D2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66960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152400" cy="76200"/>
    <xdr:pic>
      <xdr:nvPicPr>
        <xdr:cNvPr id="10" name="Obraz 9" descr="Eye Beam">
          <a:extLst>
            <a:ext uri="{FF2B5EF4-FFF2-40B4-BE49-F238E27FC236}">
              <a16:creationId xmlns:a16="http://schemas.microsoft.com/office/drawing/2014/main" id="{825ABCF2-C73A-4513-918F-B10CFF4D85B4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839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152400" cy="76200"/>
    <xdr:pic>
      <xdr:nvPicPr>
        <xdr:cNvPr id="11" name="Obraz 10" descr="Lightning Bolt">
          <a:extLst>
            <a:ext uri="{FF2B5EF4-FFF2-40B4-BE49-F238E27FC236}">
              <a16:creationId xmlns:a16="http://schemas.microsoft.com/office/drawing/2014/main" id="{650415A1-15FF-4269-B393-5CC7277930E5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0773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152400" cy="76200"/>
    <xdr:pic>
      <xdr:nvPicPr>
        <xdr:cNvPr id="12" name="Obraz 11" descr="Tail Spikes">
          <a:extLst>
            <a:ext uri="{FF2B5EF4-FFF2-40B4-BE49-F238E27FC236}">
              <a16:creationId xmlns:a16="http://schemas.microsoft.com/office/drawing/2014/main" id="{DBA4E1BA-5403-4A0F-8F00-5654C52066C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3154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152400" cy="76200"/>
    <xdr:pic>
      <xdr:nvPicPr>
        <xdr:cNvPr id="13" name="Obraz 12" descr="Fiery Breath">
          <a:extLst>
            <a:ext uri="{FF2B5EF4-FFF2-40B4-BE49-F238E27FC236}">
              <a16:creationId xmlns:a16="http://schemas.microsoft.com/office/drawing/2014/main" id="{38EADD5A-93F1-4962-A7CC-8A8F5901A395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5535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228600" cy="114300"/>
    <xdr:pic>
      <xdr:nvPicPr>
        <xdr:cNvPr id="14" name="Obraz 13" descr="Scream">
          <a:extLst>
            <a:ext uri="{FF2B5EF4-FFF2-40B4-BE49-F238E27FC236}">
              <a16:creationId xmlns:a16="http://schemas.microsoft.com/office/drawing/2014/main" id="{7CA4E25F-82C7-4CF4-8B31-4ABEB4FFF5B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7917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152400" cy="76200"/>
    <xdr:pic>
      <xdr:nvPicPr>
        <xdr:cNvPr id="15" name="Obraz 14" descr="Club">
          <a:extLst>
            <a:ext uri="{FF2B5EF4-FFF2-40B4-BE49-F238E27FC236}">
              <a16:creationId xmlns:a16="http://schemas.microsoft.com/office/drawing/2014/main" id="{1F623A1E-79DF-4631-BE9C-91DD37DB5891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4104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3</xdr:row>
      <xdr:rowOff>0</xdr:rowOff>
    </xdr:from>
    <xdr:ext cx="152400" cy="76200"/>
    <xdr:pic>
      <xdr:nvPicPr>
        <xdr:cNvPr id="16" name="Obraz 15" descr="Air">
          <a:extLst>
            <a:ext uri="{FF2B5EF4-FFF2-40B4-BE49-F238E27FC236}">
              <a16:creationId xmlns:a16="http://schemas.microsoft.com/office/drawing/2014/main" id="{F0E29C01-6BBD-43CF-ABA9-552D58820D8B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0298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4</xdr:row>
      <xdr:rowOff>0</xdr:rowOff>
    </xdr:from>
    <xdr:ext cx="152400" cy="76200"/>
    <xdr:pic>
      <xdr:nvPicPr>
        <xdr:cNvPr id="17" name="Obraz 16" descr="Fire">
          <a:extLst>
            <a:ext uri="{FF2B5EF4-FFF2-40B4-BE49-F238E27FC236}">
              <a16:creationId xmlns:a16="http://schemas.microsoft.com/office/drawing/2014/main" id="{C624236F-275E-4FDF-B888-354D5C81CA77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2679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5</xdr:row>
      <xdr:rowOff>0</xdr:rowOff>
    </xdr:from>
    <xdr:ext cx="152400" cy="76200"/>
    <xdr:pic>
      <xdr:nvPicPr>
        <xdr:cNvPr id="18" name="Obraz 17" descr="Earth">
          <a:extLst>
            <a:ext uri="{FF2B5EF4-FFF2-40B4-BE49-F238E27FC236}">
              <a16:creationId xmlns:a16="http://schemas.microsoft.com/office/drawing/2014/main" id="{C74B2072-701C-468E-A34A-E4537B46452A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5060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6</xdr:row>
      <xdr:rowOff>0</xdr:rowOff>
    </xdr:from>
    <xdr:ext cx="152400" cy="76200"/>
    <xdr:pic>
      <xdr:nvPicPr>
        <xdr:cNvPr id="19" name="Obraz 18" descr="Water">
          <a:extLst>
            <a:ext uri="{FF2B5EF4-FFF2-40B4-BE49-F238E27FC236}">
              <a16:creationId xmlns:a16="http://schemas.microsoft.com/office/drawing/2014/main" id="{2271AB35-613D-4D40-B954-5CFEFFFF2F68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744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95E2A7-F013-4FFD-B0B1-5B74490F9F4A}" name="Tabela1" displayName="Tabela1" ref="A5:V21" totalsRowShown="0" headerRowDxfId="45" headerRowBorderDxfId="52" tableBorderDxfId="53" totalsRowBorderDxfId="51">
  <autoFilter ref="A5:V21" xr:uid="{0C05B714-907D-4B37-ACDF-018861630120}"/>
  <sortState xmlns:xlrd2="http://schemas.microsoft.com/office/spreadsheetml/2017/richdata2" ref="A6:V21">
    <sortCondition ref="A5:A21"/>
  </sortState>
  <tableColumns count="22">
    <tableColumn id="22" xr3:uid="{6815ED18-55D7-4FD8-8459-E7B499C3B6F1}" name="Site" dataDxfId="50"/>
    <tableColumn id="2" xr3:uid="{18282B7A-D9EA-49E4-94CC-184A4E7A4318}" name="Name" dataDxfId="5"/>
    <tableColumn id="3" xr3:uid="{EF664E80-56AE-4711-9ABB-B7A81B098B12}" name="Lifespan" dataDxfId="3"/>
    <tableColumn id="5" xr3:uid="{EC78D06C-EBA4-4EAE-B694-3234826CC030}" name="Weapon" dataDxfId="4"/>
    <tableColumn id="6" xr3:uid="{581BDF17-F50F-482D-BD4D-6AA2C96CBDA4}" name="Force" dataDxfId="6">
      <calculatedColumnFormula>(VLOOKUP(Tabela1[[#This Row],[Weapon]],WeaponStat[],2,FALSE)*VLOOKUP(Tabela1[[#This Row],[Extra Elemental]],ElementList[],2,FALSE))/2</calculatedColumnFormula>
    </tableColumn>
    <tableColumn id="7" xr3:uid="{891C0138-346D-4FEC-A477-3FCF7662509E}" name="Speed" dataDxfId="49">
      <calculatedColumnFormula>VLOOKUP(Tabela1[[#This Row],[Weapon]],WeaponStat[],3,FALSE)+VLOOKUP(Tabela1[[#This Row],[Extra Elemental]],ElementList[],3,FALSE)</calculatedColumnFormula>
    </tableColumn>
    <tableColumn id="8" xr3:uid="{2D742245-47B6-4E45-B74D-5CAC7BAC87E8}" name="Interval" dataDxfId="48" dataCellStyle="Procentowy">
      <calculatedColumnFormula>(VLOOKUP(Tabela1[[#This Row],[Weapon]],WeaponStat[],4,FALSE)/VLOOKUP(Tabela1[[#This Row],[Extra Elemental]],ElementList[],4,FALSE))</calculatedColumnFormula>
    </tableColumn>
    <tableColumn id="9" xr3:uid="{1FBE2305-A513-4AE2-ADD9-B643B3B6C0B1}" name="Duration" dataDxfId="2">
      <calculatedColumnFormula>(VLOOKUP(Tabela1[[#This Row],[Weapon]],WeaponStat[],5,FALSE)+VLOOKUP(Tabela1[[#This Row],[Extra Elemental]],ElementList[],5,FALSE))</calculatedColumnFormula>
    </tableColumn>
    <tableColumn id="23" xr3:uid="{B10B5E0F-0F07-4848-851F-7401C8A70A18}" name="Extra Elemental" dataDxfId="0"/>
    <tableColumn id="10" xr3:uid="{CC518B97-0377-4CCE-B933-1288E4EC9C16}" name="Type" dataDxfId="1"/>
    <tableColumn id="11" xr3:uid="{4FD09B91-4E52-4F3E-8C5C-8D87B66CCC80}" name="Range" dataDxfId="47"/>
    <tableColumn id="12" xr3:uid="{B0F2865D-A101-4D2A-BE45-C76F6E53C239}" name="Speed3" dataDxfId="46"/>
    <tableColumn id="13" xr3:uid="{B0D705ED-3295-4FC7-B4E4-C0C229DBF03D}" name="Attacking Range" dataDxfId="38"/>
    <tableColumn id="14" xr3:uid="{18B72276-2398-46CC-ADD7-D166420D71F8}" name="Fleeing Range" dataDxfId="37"/>
    <tableColumn id="15" xr3:uid="{2AEF712F-4FAA-4E5D-B683-F5863001A174}" name="Dodging Thickness" dataDxfId="36"/>
    <tableColumn id="17" xr3:uid="{E6F59EF4-B53E-4A23-8ECB-AE0DB26C55D0}" name="Health" dataDxfId="44">
      <calculatedColumnFormula>Tabela1[[#This Row],[Lifespan]]*Tabela1[[#This Row],[Range]]*Tabela1[[#This Row],[Speed3]]</calculatedColumnFormula>
    </tableColumn>
    <tableColumn id="18" xr3:uid="{45B796CC-C084-40FE-8F2B-80739B23A9FD}" name="Dexterity" dataDxfId="43">
      <calculatedColumnFormula>Tabela1[[#This Row],[Range]]*Tabela1[[#This Row],[Speed3]]*Tabela1[[#This Row],[Speed]]</calculatedColumnFormula>
    </tableColumn>
    <tableColumn id="16" xr3:uid="{111127CB-E47C-4B44-9B19-3E2D886EC844}" name="Damage" dataDxfId="42">
      <calculatedColumnFormula>(Tabela1[[#This Row],[Force]]*Tabela1[[#This Row],[Speed]])*Tabela1[[#This Row],[Interval]]</calculatedColumnFormula>
    </tableColumn>
    <tableColumn id="1" xr3:uid="{DE6D8391-C66B-4EE9-8ECB-DC8F1A573533}" name="Maximum damage chance" dataDxfId="35" dataCellStyle="Procentowy">
      <calculatedColumnFormula>Tabela1[[#This Row],[Dexterity]]/(Tabela1[[#This Row],[Dexterity]]+Tabela1[[#This Row],[Health]])</calculatedColumnFormula>
    </tableColumn>
    <tableColumn id="19" xr3:uid="{6A702713-1C32-48CF-84F7-CA4874DFFBDA}" name="Defense" dataDxfId="41">
      <calculatedColumnFormula>((Tabela1[[#This Row],[Duration]]/50))*Tabela1[[#This Row],[Interval]]*Tabela1[[#This Row],[Speed]]*Tabela1[[#This Row],[Range]]*Tabela1[[#This Row],[Lifespan]]</calculatedColumnFormula>
    </tableColumn>
    <tableColumn id="25" xr3:uid="{8F288F23-C928-4B76-B8D3-0B0D581A0042}" name="Fight back chance" dataDxfId="40">
      <calculatedColumnFormula>Tabela1[[#This Row],[Defense]]/Tabela1[[#This Row],[Health]]/Tabela1[[#This Row],[Dexterity]]</calculatedColumnFormula>
    </tableColumn>
    <tableColumn id="20" xr3:uid="{0F40EDEB-4A3A-422E-AA3E-DB487DEA854C}" name="Rank" dataDxfId="39">
      <calculatedColumnFormula>((Tabela1[[#This Row],[Health]]+Tabela1[[#This Row],[Dexterity]])/2)+((Tabela1[[#This Row],[Defense]]+Tabela1[[#This Row],[Damage]])/2)</calculatedColumnFormula>
    </tableColumn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43F97A-37D6-4FFC-8662-D876EDA722AF}" name="WeaponStat" displayName="WeaponStat" ref="A3:J18" totalsRowShown="0" headerRowDxfId="71" dataDxfId="70">
  <autoFilter ref="A3:J18" xr:uid="{C765B3AC-7314-4DDE-B003-B5ABCB46E862}"/>
  <sortState xmlns:xlrd2="http://schemas.microsoft.com/office/spreadsheetml/2017/richdata2" ref="A4:J18">
    <sortCondition ref="B3:B18"/>
  </sortState>
  <tableColumns count="10">
    <tableColumn id="1" xr3:uid="{FE9F3823-075F-44D8-98A4-83CF3FAD1D9B}" name="Weapon" dataDxfId="69"/>
    <tableColumn id="2" xr3:uid="{10DC3878-A823-4F21-AC98-9C9F9FE40113}" name="Force" dataDxfId="68"/>
    <tableColumn id="3" xr3:uid="{1427362A-088F-41C8-875E-4C8493E58B92}" name="Speed" dataDxfId="67"/>
    <tableColumn id="4" xr3:uid="{3FE329E9-581F-40B2-BE78-4CD3F627DA7F}" name="Interval" dataDxfId="66"/>
    <tableColumn id="5" xr3:uid="{520560C6-46B6-4E55-A2F0-6832C1CC3F55}" name="Duration" dataDxfId="34"/>
    <tableColumn id="7" xr3:uid="{458431A2-7928-40B1-9F37-A336CC4A168C}" name="Damage" dataDxfId="32">
      <calculatedColumnFormula>(WeaponStat[[#This Row],[Force]]*WeaponStat[[#This Row],[Speed]])*WeaponStat[[#This Row],[Interval]]</calculatedColumnFormula>
    </tableColumn>
    <tableColumn id="6" xr3:uid="{84BB9B50-A3D1-4A16-85E8-6FC70EEFC6C2}" name="Q1" dataDxfId="33">
      <calculatedColumnFormula>(((WeaponStat[[#This Row],[Duration]]/50))/WeaponStat[[#This Row],[Interval]])</calculatedColumnFormula>
    </tableColumn>
    <tableColumn id="10" xr3:uid="{029E6A05-FADE-44D8-865B-79863573B4F5}" name="Q2" dataDxfId="65">
      <calculatedColumnFormula>1/(((WeaponStat[[#This Row],[Duration]]/50))/WeaponStat[[#This Row],[Interval]])</calculatedColumnFormula>
    </tableColumn>
    <tableColumn id="8" xr3:uid="{85200713-CB33-491A-861F-46EFF5F8820F}" name="Type" dataDxfId="64"/>
    <tableColumn id="9" xr3:uid="{90C67555-367F-4969-BFA7-660C137E916A}" name="Elemental" dataDxfId="63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639485-DA78-424E-8965-CFBDAF684016}" name="ElementList" displayName="ElementList" ref="L3:S8" totalsRowShown="0" headerRowDxfId="62" tableBorderDxfId="61">
  <autoFilter ref="L3:S8" xr:uid="{3357C83C-B1DE-48D1-A025-237E068B8DD4}"/>
  <tableColumns count="8">
    <tableColumn id="1" xr3:uid="{D05E432D-711B-49EA-BB4D-E188E1543933}" name="Elemental" dataDxfId="60"/>
    <tableColumn id="2" xr3:uid="{9BD5C863-7ACC-4C5D-A8C3-EE72ED65EC22}" name="Force" dataDxfId="59"/>
    <tableColumn id="3" xr3:uid="{FABC2A77-4094-4250-ACF0-87F3C6EFB4E8}" name="Speed" dataDxfId="58"/>
    <tableColumn id="4" xr3:uid="{7173CBC7-8FF4-40C8-9003-6B6A7FE984D1}" name="Interval" dataDxfId="57"/>
    <tableColumn id="5" xr3:uid="{3778B20A-6354-487B-A9DA-DB98ECBC2690}" name="Duration" dataDxfId="56"/>
    <tableColumn id="8" xr3:uid="{BE3C339D-C1CE-4C0E-8BBA-C9AD8220561E}" name="Damage" dataDxfId="31">
      <calculatedColumnFormula>(ElementList[[#This Row],[Force]]*ElementList[[#This Row],[Speed]])*ElementList[[#This Row],[Interval]]</calculatedColumnFormula>
    </tableColumn>
    <tableColumn id="6" xr3:uid="{B7C2C4B2-ED24-435C-BD2C-E93DC9F3EAFC}" name="Q1" dataDxfId="55">
      <calculatedColumnFormula>(((ElementList[[#This Row],[Duration]]/50))/ElementList[[#This Row],[Interval]])</calculatedColumnFormula>
    </tableColumn>
    <tableColumn id="7" xr3:uid="{B0789A70-A6DC-495D-948D-4948964097E3}" name="Q2" dataDxfId="54">
      <calculatedColumnFormula>1/(((ElementList[[#This Row],[Duration]]/50))/ElementList[[#This Row],[Interval]])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DE586-30FF-4EFD-AE71-B2547EA9A788}">
  <sheetPr>
    <pageSetUpPr fitToPage="1"/>
  </sheetPr>
  <dimension ref="A1:V22"/>
  <sheetViews>
    <sheetView showGridLines="0" showRowColHeaders="0" tabSelected="1" zoomScaleNormal="100" workbookViewId="0">
      <pane ySplit="5" topLeftCell="A6" activePane="bottomLeft" state="frozen"/>
      <selection activeCell="B1" sqref="B1"/>
      <selection pane="bottomLeft" activeCell="I5" sqref="I5"/>
    </sheetView>
  </sheetViews>
  <sheetFormatPr defaultRowHeight="18.75" customHeight="1" x14ac:dyDescent="0.25"/>
  <cols>
    <col min="1" max="1" width="6.7109375" customWidth="1"/>
    <col min="2" max="2" width="16" bestFit="1" customWidth="1"/>
    <col min="3" max="3" width="9.5703125" bestFit="1" customWidth="1"/>
    <col min="4" max="4" width="15.7109375" bestFit="1" customWidth="1"/>
    <col min="5" max="8" width="8.5703125" customWidth="1"/>
    <col min="9" max="9" width="10.85546875" customWidth="1"/>
    <col min="10" max="12" width="8.5703125" customWidth="1"/>
    <col min="13" max="16" width="9.7109375" customWidth="1"/>
    <col min="18" max="19" width="10.7109375" customWidth="1"/>
    <col min="20" max="20" width="9.7109375" customWidth="1"/>
    <col min="21" max="21" width="10.7109375" customWidth="1"/>
    <col min="22" max="22" width="7.42578125" customWidth="1"/>
  </cols>
  <sheetData>
    <row r="1" spans="1:22" s="87" customFormat="1" ht="22.5" customHeight="1" x14ac:dyDescent="0.25"/>
    <row r="2" spans="1:22" ht="7.5" customHeight="1" thickBot="1" x14ac:dyDescent="0.3"/>
    <row r="3" spans="1:22" ht="18.75" customHeight="1" thickTop="1" thickBot="1" x14ac:dyDescent="0.3">
      <c r="A3" s="21"/>
      <c r="B3" s="64"/>
      <c r="C3" s="51"/>
      <c r="D3" s="65" t="s">
        <v>48</v>
      </c>
      <c r="E3" s="65"/>
      <c r="F3" s="65"/>
      <c r="G3" s="65"/>
      <c r="H3" s="65"/>
      <c r="I3" s="49"/>
      <c r="J3" s="65" t="s">
        <v>1</v>
      </c>
      <c r="K3" s="65"/>
      <c r="L3" s="65"/>
      <c r="M3" s="65" t="s">
        <v>2</v>
      </c>
      <c r="N3" s="65"/>
      <c r="O3" s="65"/>
      <c r="P3" s="65" t="s">
        <v>49</v>
      </c>
      <c r="Q3" s="65"/>
      <c r="R3" s="65"/>
      <c r="S3" s="65"/>
      <c r="T3" s="65"/>
      <c r="U3" s="65"/>
      <c r="V3" s="66"/>
    </row>
    <row r="4" spans="1:22" ht="35.25" customHeight="1" thickTop="1" thickBot="1" x14ac:dyDescent="0.3">
      <c r="A4" s="28"/>
      <c r="B4" s="37"/>
      <c r="C4" s="67" t="s">
        <v>70</v>
      </c>
      <c r="D4" s="68" t="s">
        <v>69</v>
      </c>
      <c r="E4" s="69" t="s">
        <v>65</v>
      </c>
      <c r="F4" s="69" t="s">
        <v>64</v>
      </c>
      <c r="G4" s="69" t="s">
        <v>63</v>
      </c>
      <c r="H4" s="70" t="s">
        <v>62</v>
      </c>
      <c r="I4" s="67" t="s">
        <v>66</v>
      </c>
      <c r="J4" s="68" t="s">
        <v>68</v>
      </c>
      <c r="K4" s="69" t="s">
        <v>67</v>
      </c>
      <c r="L4" s="70" t="s">
        <v>64</v>
      </c>
      <c r="M4" s="71"/>
      <c r="N4" s="69"/>
      <c r="O4" s="77"/>
      <c r="P4" s="71" t="s">
        <v>52</v>
      </c>
      <c r="Q4" s="69" t="s">
        <v>53</v>
      </c>
      <c r="R4" s="69" t="s">
        <v>54</v>
      </c>
      <c r="S4" s="72" t="s">
        <v>79</v>
      </c>
      <c r="T4" s="69" t="s">
        <v>72</v>
      </c>
      <c r="U4" s="73" t="s">
        <v>74</v>
      </c>
      <c r="V4" s="50" t="s">
        <v>86</v>
      </c>
    </row>
    <row r="5" spans="1:22" ht="57.75" customHeight="1" thickTop="1" x14ac:dyDescent="0.25">
      <c r="A5" s="29" t="s">
        <v>57</v>
      </c>
      <c r="B5" s="38" t="s">
        <v>46</v>
      </c>
      <c r="C5" s="99" t="s">
        <v>0</v>
      </c>
      <c r="D5" s="95" t="s">
        <v>3</v>
      </c>
      <c r="E5" s="30" t="s">
        <v>5</v>
      </c>
      <c r="F5" s="30" t="s">
        <v>6</v>
      </c>
      <c r="G5" s="30" t="s">
        <v>7</v>
      </c>
      <c r="H5" s="43" t="s">
        <v>8</v>
      </c>
      <c r="I5" s="99" t="s">
        <v>60</v>
      </c>
      <c r="J5" s="42" t="s">
        <v>4</v>
      </c>
      <c r="K5" s="30" t="s">
        <v>9</v>
      </c>
      <c r="L5" s="43" t="s">
        <v>47</v>
      </c>
      <c r="M5" s="52" t="s">
        <v>10</v>
      </c>
      <c r="N5" s="30" t="s">
        <v>11</v>
      </c>
      <c r="O5" s="78" t="s">
        <v>12</v>
      </c>
      <c r="P5" s="52" t="s">
        <v>84</v>
      </c>
      <c r="Q5" s="30" t="s">
        <v>83</v>
      </c>
      <c r="R5" s="30" t="s">
        <v>73</v>
      </c>
      <c r="S5" s="31" t="s">
        <v>77</v>
      </c>
      <c r="T5" s="30" t="s">
        <v>71</v>
      </c>
      <c r="U5" s="53" t="s">
        <v>78</v>
      </c>
      <c r="V5" s="61" t="s">
        <v>85</v>
      </c>
    </row>
    <row r="6" spans="1:22" ht="18.75" customHeight="1" x14ac:dyDescent="0.25">
      <c r="A6" s="33" t="s">
        <v>59</v>
      </c>
      <c r="B6" s="40" t="s">
        <v>41</v>
      </c>
      <c r="C6" s="101">
        <v>5</v>
      </c>
      <c r="D6" s="96" t="s">
        <v>87</v>
      </c>
      <c r="E6" s="26">
        <f>(VLOOKUP(Tabela1[[#This Row],[Weapon]],WeaponStat[],2,FALSE)*VLOOKUP(Tabela1[[#This Row],[Extra Elemental]],ElementList[],2,FALSE))/2</f>
        <v>5</v>
      </c>
      <c r="F6" s="26">
        <f>VLOOKUP(Tabela1[[#This Row],[Weapon]],WeaponStat[],3,FALSE)+VLOOKUP(Tabela1[[#This Row],[Extra Elemental]],ElementList[],3,FALSE)</f>
        <v>2</v>
      </c>
      <c r="G6" s="27">
        <f>(VLOOKUP(Tabela1[[#This Row],[Weapon]],WeaponStat[],4,FALSE)/VLOOKUP(Tabela1[[#This Row],[Extra Elemental]],ElementList[],4,FALSE))</f>
        <v>0.4</v>
      </c>
      <c r="H6" s="45">
        <f>(VLOOKUP(Tabela1[[#This Row],[Weapon]],WeaponStat[],5,FALSE)+VLOOKUP(Tabela1[[#This Row],[Extra Elemental]],ElementList[],5,FALSE))</f>
        <v>15</v>
      </c>
      <c r="I6" s="103" t="s">
        <v>61</v>
      </c>
      <c r="J6" s="47" t="s">
        <v>15</v>
      </c>
      <c r="K6" s="25">
        <v>3</v>
      </c>
      <c r="L6" s="75">
        <v>1</v>
      </c>
      <c r="M6" s="81">
        <v>12</v>
      </c>
      <c r="N6" s="25">
        <v>15</v>
      </c>
      <c r="O6" s="82">
        <v>6</v>
      </c>
      <c r="P6" s="57">
        <f>Tabela1[[#This Row],[Lifespan]]*Tabela1[[#This Row],[Range]]*Tabela1[[#This Row],[Speed3]]</f>
        <v>15</v>
      </c>
      <c r="Q6" s="26">
        <f>Tabela1[[#This Row],[Range]]*Tabela1[[#This Row],[Speed3]]*Tabela1[[#This Row],[Speed]]</f>
        <v>6</v>
      </c>
      <c r="R6" s="26">
        <f>(Tabela1[[#This Row],[Force]]*Tabela1[[#This Row],[Speed]])*Tabela1[[#This Row],[Interval]]</f>
        <v>4</v>
      </c>
      <c r="S6" s="27">
        <f>Tabela1[[#This Row],[Dexterity]]/(Tabela1[[#This Row],[Dexterity]]+Tabela1[[#This Row],[Health]])</f>
        <v>0.2857142857142857</v>
      </c>
      <c r="T6" s="26">
        <f>((Tabela1[[#This Row],[Duration]]/50))*Tabela1[[#This Row],[Interval]]*Tabela1[[#This Row],[Speed]]*Tabela1[[#This Row],[Range]]*Tabela1[[#This Row],[Lifespan]]</f>
        <v>3.5999999999999996</v>
      </c>
      <c r="U6" s="56">
        <f>Tabela1[[#This Row],[Defense]]/Tabela1[[#This Row],[Health]]/Tabela1[[#This Row],[Dexterity]]</f>
        <v>3.9999999999999994E-2</v>
      </c>
      <c r="V6" s="62">
        <f>((Tabela1[[#This Row],[Health]]+Tabela1[[#This Row],[Dexterity]])/2)+((Tabela1[[#This Row],[Defense]]+Tabela1[[#This Row],[Damage]])/2)</f>
        <v>14.3</v>
      </c>
    </row>
    <row r="7" spans="1:22" ht="18.75" customHeight="1" x14ac:dyDescent="0.25">
      <c r="A7" s="33" t="s">
        <v>59</v>
      </c>
      <c r="B7" s="40" t="s">
        <v>33</v>
      </c>
      <c r="C7" s="101">
        <v>8</v>
      </c>
      <c r="D7" s="96" t="s">
        <v>34</v>
      </c>
      <c r="E7" s="26">
        <f>(VLOOKUP(Tabela1[[#This Row],[Weapon]],WeaponStat[],2,FALSE)*VLOOKUP(Tabela1[[#This Row],[Extra Elemental]],ElementList[],2,FALSE))/2</f>
        <v>4</v>
      </c>
      <c r="F7" s="26">
        <f>VLOOKUP(Tabela1[[#This Row],[Weapon]],WeaponStat[],3,FALSE)+VLOOKUP(Tabela1[[#This Row],[Extra Elemental]],ElementList[],3,FALSE)</f>
        <v>3</v>
      </c>
      <c r="G7" s="27">
        <f>(VLOOKUP(Tabela1[[#This Row],[Weapon]],WeaponStat[],4,FALSE)/VLOOKUP(Tabela1[[#This Row],[Extra Elemental]],ElementList[],4,FALSE))</f>
        <v>0.8</v>
      </c>
      <c r="H7" s="89">
        <f>(VLOOKUP(Tabela1[[#This Row],[Weapon]],WeaponStat[],5,FALSE)+VLOOKUP(Tabela1[[#This Row],[Extra Elemental]],ElementList[],5,FALSE))</f>
        <v>40</v>
      </c>
      <c r="I7" s="103" t="s">
        <v>61</v>
      </c>
      <c r="J7" s="47" t="s">
        <v>15</v>
      </c>
      <c r="K7" s="25">
        <v>3</v>
      </c>
      <c r="L7" s="75">
        <v>1</v>
      </c>
      <c r="M7" s="81">
        <v>70</v>
      </c>
      <c r="N7" s="25">
        <v>40</v>
      </c>
      <c r="O7" s="82">
        <v>8</v>
      </c>
      <c r="P7" s="57">
        <f>Tabela1[[#This Row],[Lifespan]]*Tabela1[[#This Row],[Range]]*Tabela1[[#This Row],[Speed3]]</f>
        <v>24</v>
      </c>
      <c r="Q7" s="26">
        <f>Tabela1[[#This Row],[Range]]*Tabela1[[#This Row],[Speed3]]*Tabela1[[#This Row],[Speed]]</f>
        <v>9</v>
      </c>
      <c r="R7" s="26">
        <f>(Tabela1[[#This Row],[Force]]*Tabela1[[#This Row],[Speed]])*Tabela1[[#This Row],[Interval]]</f>
        <v>9.6000000000000014</v>
      </c>
      <c r="S7" s="27">
        <f>Tabela1[[#This Row],[Dexterity]]/(Tabela1[[#This Row],[Dexterity]]+Tabela1[[#This Row],[Health]])</f>
        <v>0.27272727272727271</v>
      </c>
      <c r="T7" s="26">
        <f>((Tabela1[[#This Row],[Duration]]/50))*Tabela1[[#This Row],[Interval]]*Tabela1[[#This Row],[Speed]]*Tabela1[[#This Row],[Range]]*Tabela1[[#This Row],[Lifespan]]</f>
        <v>46.080000000000013</v>
      </c>
      <c r="U7" s="56">
        <f>Tabela1[[#This Row],[Defense]]/Tabela1[[#This Row],[Health]]/Tabela1[[#This Row],[Dexterity]]</f>
        <v>0.2133333333333334</v>
      </c>
      <c r="V7" s="62">
        <f>((Tabela1[[#This Row],[Health]]+Tabela1[[#This Row],[Dexterity]])/2)+((Tabela1[[#This Row],[Defense]]+Tabela1[[#This Row],[Damage]])/2)</f>
        <v>44.34</v>
      </c>
    </row>
    <row r="8" spans="1:22" ht="18.75" customHeight="1" x14ac:dyDescent="0.25">
      <c r="A8" s="33" t="s">
        <v>59</v>
      </c>
      <c r="B8" s="40" t="s">
        <v>39</v>
      </c>
      <c r="C8" s="101">
        <v>8</v>
      </c>
      <c r="D8" s="96" t="s">
        <v>40</v>
      </c>
      <c r="E8" s="26">
        <f>(VLOOKUP(Tabela1[[#This Row],[Weapon]],WeaponStat[],2,FALSE)*VLOOKUP(Tabela1[[#This Row],[Extra Elemental]],ElementList[],2,FALSE))/2</f>
        <v>8</v>
      </c>
      <c r="F8" s="26">
        <f>VLOOKUP(Tabela1[[#This Row],[Weapon]],WeaponStat[],3,FALSE)+VLOOKUP(Tabela1[[#This Row],[Extra Elemental]],ElementList[],3,FALSE)</f>
        <v>3</v>
      </c>
      <c r="G8" s="27">
        <f>(VLOOKUP(Tabela1[[#This Row],[Weapon]],WeaponStat[],4,FALSE)/VLOOKUP(Tabela1[[#This Row],[Extra Elemental]],ElementList[],4,FALSE))</f>
        <v>1</v>
      </c>
      <c r="H8" s="45">
        <f>(VLOOKUP(Tabela1[[#This Row],[Weapon]],WeaponStat[],5,FALSE)+VLOOKUP(Tabela1[[#This Row],[Extra Elemental]],ElementList[],5,FALSE))</f>
        <v>40</v>
      </c>
      <c r="I8" s="103" t="s">
        <v>61</v>
      </c>
      <c r="J8" s="47" t="s">
        <v>23</v>
      </c>
      <c r="K8" s="25">
        <v>3</v>
      </c>
      <c r="L8" s="75">
        <v>1</v>
      </c>
      <c r="M8" s="81">
        <v>15</v>
      </c>
      <c r="N8" s="25">
        <v>20</v>
      </c>
      <c r="O8" s="82">
        <v>21</v>
      </c>
      <c r="P8" s="57">
        <f>Tabela1[[#This Row],[Lifespan]]*Tabela1[[#This Row],[Range]]*Tabela1[[#This Row],[Speed3]]</f>
        <v>24</v>
      </c>
      <c r="Q8" s="26">
        <f>Tabela1[[#This Row],[Range]]*Tabela1[[#This Row],[Speed3]]*Tabela1[[#This Row],[Speed]]</f>
        <v>9</v>
      </c>
      <c r="R8" s="26">
        <f>(Tabela1[[#This Row],[Force]]*Tabela1[[#This Row],[Speed]])*Tabela1[[#This Row],[Interval]]</f>
        <v>24</v>
      </c>
      <c r="S8" s="27">
        <f>Tabela1[[#This Row],[Dexterity]]/(Tabela1[[#This Row],[Dexterity]]+Tabela1[[#This Row],[Health]])</f>
        <v>0.27272727272727271</v>
      </c>
      <c r="T8" s="26">
        <f>((Tabela1[[#This Row],[Duration]]/50))*Tabela1[[#This Row],[Interval]]*Tabela1[[#This Row],[Speed]]*Tabela1[[#This Row],[Range]]*Tabela1[[#This Row],[Lifespan]]</f>
        <v>57.600000000000009</v>
      </c>
      <c r="U8" s="56">
        <f>Tabela1[[#This Row],[Defense]]/Tabela1[[#This Row],[Health]]/Tabela1[[#This Row],[Dexterity]]</f>
        <v>0.26666666666666672</v>
      </c>
      <c r="V8" s="62">
        <f>((Tabela1[[#This Row],[Health]]+Tabela1[[#This Row],[Dexterity]])/2)+((Tabela1[[#This Row],[Defense]]+Tabela1[[#This Row],[Damage]])/2)</f>
        <v>57.300000000000004</v>
      </c>
    </row>
    <row r="9" spans="1:22" ht="18.75" customHeight="1" x14ac:dyDescent="0.25">
      <c r="A9" s="33" t="s">
        <v>59</v>
      </c>
      <c r="B9" s="40" t="s">
        <v>35</v>
      </c>
      <c r="C9" s="101">
        <v>14</v>
      </c>
      <c r="D9" s="96" t="s">
        <v>21</v>
      </c>
      <c r="E9" s="26">
        <f>(VLOOKUP(Tabela1[[#This Row],[Weapon]],WeaponStat[],2,FALSE)*VLOOKUP(Tabela1[[#This Row],[Extra Elemental]],ElementList[],2,FALSE))/2</f>
        <v>10</v>
      </c>
      <c r="F9" s="26">
        <f>VLOOKUP(Tabela1[[#This Row],[Weapon]],WeaponStat[],3,FALSE)+VLOOKUP(Tabela1[[#This Row],[Extra Elemental]],ElementList[],3,FALSE)</f>
        <v>3</v>
      </c>
      <c r="G9" s="27">
        <f>(VLOOKUP(Tabela1[[#This Row],[Weapon]],WeaponStat[],4,FALSE)/VLOOKUP(Tabela1[[#This Row],[Extra Elemental]],ElementList[],4,FALSE))</f>
        <v>1</v>
      </c>
      <c r="H9" s="89">
        <f>(VLOOKUP(Tabela1[[#This Row],[Weapon]],WeaponStat[],5,FALSE)+VLOOKUP(Tabela1[[#This Row],[Extra Elemental]],ElementList[],5,FALSE))</f>
        <v>20</v>
      </c>
      <c r="I9" s="103" t="s">
        <v>61</v>
      </c>
      <c r="J9" s="47" t="s">
        <v>15</v>
      </c>
      <c r="K9" s="25">
        <v>3</v>
      </c>
      <c r="L9" s="75">
        <v>0.75</v>
      </c>
      <c r="M9" s="81">
        <v>78</v>
      </c>
      <c r="N9" s="25">
        <v>48</v>
      </c>
      <c r="O9" s="82">
        <v>9</v>
      </c>
      <c r="P9" s="57">
        <f>Tabela1[[#This Row],[Lifespan]]*Tabela1[[#This Row],[Range]]*Tabela1[[#This Row],[Speed3]]</f>
        <v>31.5</v>
      </c>
      <c r="Q9" s="26">
        <f>Tabela1[[#This Row],[Range]]*Tabela1[[#This Row],[Speed3]]*Tabela1[[#This Row],[Speed]]</f>
        <v>6.75</v>
      </c>
      <c r="R9" s="26">
        <f>(Tabela1[[#This Row],[Force]]*Tabela1[[#This Row],[Speed]])*Tabela1[[#This Row],[Interval]]</f>
        <v>30</v>
      </c>
      <c r="S9" s="27">
        <f>Tabela1[[#This Row],[Dexterity]]/(Tabela1[[#This Row],[Dexterity]]+Tabela1[[#This Row],[Health]])</f>
        <v>0.17647058823529413</v>
      </c>
      <c r="T9" s="26">
        <f>((Tabela1[[#This Row],[Duration]]/50))*Tabela1[[#This Row],[Interval]]*Tabela1[[#This Row],[Speed]]*Tabela1[[#This Row],[Range]]*Tabela1[[#This Row],[Lifespan]]</f>
        <v>50.400000000000006</v>
      </c>
      <c r="U9" s="56">
        <f>Tabela1[[#This Row],[Defense]]/Tabela1[[#This Row],[Health]]/Tabela1[[#This Row],[Dexterity]]</f>
        <v>0.23703703703703705</v>
      </c>
      <c r="V9" s="62">
        <f>((Tabela1[[#This Row],[Health]]+Tabela1[[#This Row],[Dexterity]])/2)+((Tabela1[[#This Row],[Defense]]+Tabela1[[#This Row],[Damage]])/2)</f>
        <v>59.325000000000003</v>
      </c>
    </row>
    <row r="10" spans="1:22" ht="18.75" customHeight="1" x14ac:dyDescent="0.25">
      <c r="A10" s="33" t="s">
        <v>59</v>
      </c>
      <c r="B10" s="40" t="s">
        <v>36</v>
      </c>
      <c r="C10" s="101">
        <v>10</v>
      </c>
      <c r="D10" s="96" t="s">
        <v>25</v>
      </c>
      <c r="E10" s="26">
        <f>(VLOOKUP(Tabela1[[#This Row],[Weapon]],WeaponStat[],2,FALSE)*VLOOKUP(Tabela1[[#This Row],[Extra Elemental]],ElementList[],2,FALSE))/2</f>
        <v>6</v>
      </c>
      <c r="F10" s="26">
        <f>VLOOKUP(Tabela1[[#This Row],[Weapon]],WeaponStat[],3,FALSE)+VLOOKUP(Tabela1[[#This Row],[Extra Elemental]],ElementList[],3,FALSE)</f>
        <v>5</v>
      </c>
      <c r="G10" s="27">
        <f>(VLOOKUP(Tabela1[[#This Row],[Weapon]],WeaponStat[],4,FALSE)/VLOOKUP(Tabela1[[#This Row],[Extra Elemental]],ElementList[],4,FALSE))</f>
        <v>0.9</v>
      </c>
      <c r="H10" s="45">
        <f>(VLOOKUP(Tabela1[[#This Row],[Weapon]],WeaponStat[],5,FALSE)+VLOOKUP(Tabela1[[#This Row],[Extra Elemental]],ElementList[],5,FALSE))</f>
        <v>20</v>
      </c>
      <c r="I10" s="103" t="s">
        <v>61</v>
      </c>
      <c r="J10" s="47" t="s">
        <v>23</v>
      </c>
      <c r="K10" s="25">
        <v>5</v>
      </c>
      <c r="L10" s="75">
        <v>0.75</v>
      </c>
      <c r="M10" s="81">
        <v>78</v>
      </c>
      <c r="N10" s="25">
        <v>48</v>
      </c>
      <c r="O10" s="82">
        <v>9</v>
      </c>
      <c r="P10" s="57">
        <f>Tabela1[[#This Row],[Lifespan]]*Tabela1[[#This Row],[Range]]*Tabela1[[#This Row],[Speed3]]</f>
        <v>37.5</v>
      </c>
      <c r="Q10" s="26">
        <f>Tabela1[[#This Row],[Range]]*Tabela1[[#This Row],[Speed3]]*Tabela1[[#This Row],[Speed]]</f>
        <v>18.75</v>
      </c>
      <c r="R10" s="26">
        <f>(Tabela1[[#This Row],[Force]]*Tabela1[[#This Row],[Speed]])*Tabela1[[#This Row],[Interval]]</f>
        <v>27</v>
      </c>
      <c r="S10" s="27">
        <f>Tabela1[[#This Row],[Dexterity]]/(Tabela1[[#This Row],[Dexterity]]+Tabela1[[#This Row],[Health]])</f>
        <v>0.33333333333333331</v>
      </c>
      <c r="T10" s="26">
        <f>((Tabela1[[#This Row],[Duration]]/50))*Tabela1[[#This Row],[Interval]]*Tabela1[[#This Row],[Speed]]*Tabela1[[#This Row],[Range]]*Tabela1[[#This Row],[Lifespan]]</f>
        <v>90.000000000000014</v>
      </c>
      <c r="U10" s="56">
        <f>Tabela1[[#This Row],[Defense]]/Tabela1[[#This Row],[Health]]/Tabela1[[#This Row],[Dexterity]]</f>
        <v>0.12800000000000003</v>
      </c>
      <c r="V10" s="62">
        <f>((Tabela1[[#This Row],[Health]]+Tabela1[[#This Row],[Dexterity]])/2)+((Tabela1[[#This Row],[Defense]]+Tabela1[[#This Row],[Damage]])/2)</f>
        <v>86.625</v>
      </c>
    </row>
    <row r="11" spans="1:22" ht="18.75" customHeight="1" x14ac:dyDescent="0.25">
      <c r="A11" s="33" t="s">
        <v>59</v>
      </c>
      <c r="B11" s="40" t="s">
        <v>29</v>
      </c>
      <c r="C11" s="101">
        <v>6</v>
      </c>
      <c r="D11" s="96" t="s">
        <v>30</v>
      </c>
      <c r="E11" s="26">
        <f>(VLOOKUP(Tabela1[[#This Row],[Weapon]],WeaponStat[],2,FALSE)*VLOOKUP(Tabela1[[#This Row],[Extra Elemental]],ElementList[],2,FALSE))/2</f>
        <v>9</v>
      </c>
      <c r="F11" s="26">
        <f>VLOOKUP(Tabela1[[#This Row],[Weapon]],WeaponStat[],3,FALSE)+VLOOKUP(Tabela1[[#This Row],[Extra Elemental]],ElementList[],3,FALSE)</f>
        <v>7</v>
      </c>
      <c r="G11" s="27">
        <f>(VLOOKUP(Tabela1[[#This Row],[Weapon]],WeaponStat[],4,FALSE)/VLOOKUP(Tabela1[[#This Row],[Extra Elemental]],ElementList[],4,FALSE))</f>
        <v>0.6</v>
      </c>
      <c r="H11" s="89">
        <f>(VLOOKUP(Tabela1[[#This Row],[Weapon]],WeaponStat[],5,FALSE)+VLOOKUP(Tabela1[[#This Row],[Extra Elemental]],ElementList[],5,FALSE))</f>
        <v>50</v>
      </c>
      <c r="I11" s="103" t="s">
        <v>61</v>
      </c>
      <c r="J11" s="47" t="s">
        <v>15</v>
      </c>
      <c r="K11" s="25">
        <v>3</v>
      </c>
      <c r="L11" s="75">
        <v>1</v>
      </c>
      <c r="M11" s="81">
        <v>143</v>
      </c>
      <c r="N11" s="25">
        <v>73</v>
      </c>
      <c r="O11" s="82">
        <v>7</v>
      </c>
      <c r="P11" s="57">
        <f>Tabela1[[#This Row],[Lifespan]]*Tabela1[[#This Row],[Range]]*Tabela1[[#This Row],[Speed3]]</f>
        <v>18</v>
      </c>
      <c r="Q11" s="26">
        <f>Tabela1[[#This Row],[Range]]*Tabela1[[#This Row],[Speed3]]*Tabela1[[#This Row],[Speed]]</f>
        <v>21</v>
      </c>
      <c r="R11" s="26">
        <f>(Tabela1[[#This Row],[Force]]*Tabela1[[#This Row],[Speed]])*Tabela1[[#This Row],[Interval]]</f>
        <v>37.799999999999997</v>
      </c>
      <c r="S11" s="27">
        <f>Tabela1[[#This Row],[Dexterity]]/(Tabela1[[#This Row],[Dexterity]]+Tabela1[[#This Row],[Health]])</f>
        <v>0.53846153846153844</v>
      </c>
      <c r="T11" s="26">
        <f>((Tabela1[[#This Row],[Duration]]/50))*Tabela1[[#This Row],[Interval]]*Tabela1[[#This Row],[Speed]]*Tabela1[[#This Row],[Range]]*Tabela1[[#This Row],[Lifespan]]</f>
        <v>75.600000000000009</v>
      </c>
      <c r="U11" s="56">
        <f>Tabela1[[#This Row],[Defense]]/Tabela1[[#This Row],[Health]]/Tabela1[[#This Row],[Dexterity]]</f>
        <v>0.2</v>
      </c>
      <c r="V11" s="62">
        <f>((Tabela1[[#This Row],[Health]]+Tabela1[[#This Row],[Dexterity]])/2)+((Tabela1[[#This Row],[Defense]]+Tabela1[[#This Row],[Damage]])/2)</f>
        <v>76.2</v>
      </c>
    </row>
    <row r="12" spans="1:22" ht="18.75" customHeight="1" x14ac:dyDescent="0.25">
      <c r="A12" s="33" t="s">
        <v>59</v>
      </c>
      <c r="B12" s="40" t="s">
        <v>31</v>
      </c>
      <c r="C12" s="101">
        <v>15</v>
      </c>
      <c r="D12" s="96" t="s">
        <v>32</v>
      </c>
      <c r="E12" s="26">
        <f>(VLOOKUP(Tabela1[[#This Row],[Weapon]],WeaponStat[],2,FALSE)*VLOOKUP(Tabela1[[#This Row],[Extra Elemental]],ElementList[],2,FALSE))/2</f>
        <v>8</v>
      </c>
      <c r="F12" s="26">
        <f>VLOOKUP(Tabela1[[#This Row],[Weapon]],WeaponStat[],3,FALSE)+VLOOKUP(Tabela1[[#This Row],[Extra Elemental]],ElementList[],3,FALSE)</f>
        <v>6</v>
      </c>
      <c r="G12" s="27">
        <f>(VLOOKUP(Tabela1[[#This Row],[Weapon]],WeaponStat[],4,FALSE)/VLOOKUP(Tabela1[[#This Row],[Extra Elemental]],ElementList[],4,FALSE))</f>
        <v>0.8</v>
      </c>
      <c r="H12" s="89">
        <f>(VLOOKUP(Tabela1[[#This Row],[Weapon]],WeaponStat[],5,FALSE)+VLOOKUP(Tabela1[[#This Row],[Extra Elemental]],ElementList[],5,FALSE))</f>
        <v>30</v>
      </c>
      <c r="I12" s="103" t="s">
        <v>61</v>
      </c>
      <c r="J12" s="47" t="s">
        <v>15</v>
      </c>
      <c r="K12" s="25">
        <v>3</v>
      </c>
      <c r="L12" s="75">
        <v>1</v>
      </c>
      <c r="M12" s="81">
        <v>126</v>
      </c>
      <c r="N12" s="25">
        <v>66</v>
      </c>
      <c r="O12" s="82">
        <v>6</v>
      </c>
      <c r="P12" s="57">
        <f>Tabela1[[#This Row],[Lifespan]]*Tabela1[[#This Row],[Range]]*Tabela1[[#This Row],[Speed3]]</f>
        <v>45</v>
      </c>
      <c r="Q12" s="26">
        <f>Tabela1[[#This Row],[Range]]*Tabela1[[#This Row],[Speed3]]*Tabela1[[#This Row],[Speed]]</f>
        <v>18</v>
      </c>
      <c r="R12" s="26">
        <f>(Tabela1[[#This Row],[Force]]*Tabela1[[#This Row],[Speed]])*Tabela1[[#This Row],[Interval]]</f>
        <v>38.400000000000006</v>
      </c>
      <c r="S12" s="27">
        <f>Tabela1[[#This Row],[Dexterity]]/(Tabela1[[#This Row],[Dexterity]]+Tabela1[[#This Row],[Health]])</f>
        <v>0.2857142857142857</v>
      </c>
      <c r="T12" s="26">
        <f>((Tabela1[[#This Row],[Duration]]/50))*Tabela1[[#This Row],[Interval]]*Tabela1[[#This Row],[Speed]]*Tabela1[[#This Row],[Range]]*Tabela1[[#This Row],[Lifespan]]</f>
        <v>129.60000000000002</v>
      </c>
      <c r="U12" s="56">
        <f>Tabela1[[#This Row],[Defense]]/Tabela1[[#This Row],[Health]]/Tabela1[[#This Row],[Dexterity]]</f>
        <v>0.16000000000000003</v>
      </c>
      <c r="V12" s="62">
        <f>((Tabela1[[#This Row],[Health]]+Tabela1[[#This Row],[Dexterity]])/2)+((Tabela1[[#This Row],[Defense]]+Tabela1[[#This Row],[Damage]])/2)</f>
        <v>115.50000000000001</v>
      </c>
    </row>
    <row r="13" spans="1:22" ht="18.75" customHeight="1" x14ac:dyDescent="0.25">
      <c r="A13" s="33" t="s">
        <v>59</v>
      </c>
      <c r="B13" s="40" t="s">
        <v>37</v>
      </c>
      <c r="C13" s="101">
        <v>17</v>
      </c>
      <c r="D13" s="96" t="s">
        <v>38</v>
      </c>
      <c r="E13" s="26">
        <f>(VLOOKUP(Tabela1[[#This Row],[Weapon]],WeaponStat[],2,FALSE)*VLOOKUP(Tabela1[[#This Row],[Extra Elemental]],ElementList[],2,FALSE))/2</f>
        <v>11</v>
      </c>
      <c r="F13" s="26">
        <f>VLOOKUP(Tabela1[[#This Row],[Weapon]],WeaponStat[],3,FALSE)+VLOOKUP(Tabela1[[#This Row],[Extra Elemental]],ElementList[],3,FALSE)</f>
        <v>4</v>
      </c>
      <c r="G13" s="27">
        <f>(VLOOKUP(Tabela1[[#This Row],[Weapon]],WeaponStat[],4,FALSE)/VLOOKUP(Tabela1[[#This Row],[Extra Elemental]],ElementList[],4,FALSE))</f>
        <v>1.2</v>
      </c>
      <c r="H13" s="45">
        <f>(VLOOKUP(Tabela1[[#This Row],[Weapon]],WeaponStat[],5,FALSE)+VLOOKUP(Tabela1[[#This Row],[Extra Elemental]],ElementList[],5,FALSE))</f>
        <v>50</v>
      </c>
      <c r="I13" s="103" t="s">
        <v>61</v>
      </c>
      <c r="J13" s="47" t="s">
        <v>23</v>
      </c>
      <c r="K13" s="25">
        <v>4</v>
      </c>
      <c r="L13" s="75">
        <v>1</v>
      </c>
      <c r="M13" s="81">
        <v>92</v>
      </c>
      <c r="N13" s="25">
        <v>52</v>
      </c>
      <c r="O13" s="82">
        <v>7</v>
      </c>
      <c r="P13" s="57">
        <f>Tabela1[[#This Row],[Lifespan]]*Tabela1[[#This Row],[Range]]*Tabela1[[#This Row],[Speed3]]</f>
        <v>68</v>
      </c>
      <c r="Q13" s="26">
        <f>Tabela1[[#This Row],[Range]]*Tabela1[[#This Row],[Speed3]]*Tabela1[[#This Row],[Speed]]</f>
        <v>16</v>
      </c>
      <c r="R13" s="26">
        <f>(Tabela1[[#This Row],[Force]]*Tabela1[[#This Row],[Speed]])*Tabela1[[#This Row],[Interval]]</f>
        <v>52.8</v>
      </c>
      <c r="S13" s="27">
        <f>Tabela1[[#This Row],[Dexterity]]/(Tabela1[[#This Row],[Dexterity]]+Tabela1[[#This Row],[Health]])</f>
        <v>0.19047619047619047</v>
      </c>
      <c r="T13" s="26">
        <f>((Tabela1[[#This Row],[Duration]]/50))*Tabela1[[#This Row],[Interval]]*Tabela1[[#This Row],[Speed]]*Tabela1[[#This Row],[Range]]*Tabela1[[#This Row],[Lifespan]]</f>
        <v>326.39999999999998</v>
      </c>
      <c r="U13" s="56">
        <f>Tabela1[[#This Row],[Defense]]/Tabela1[[#This Row],[Health]]/Tabela1[[#This Row],[Dexterity]]</f>
        <v>0.3</v>
      </c>
      <c r="V13" s="62">
        <f>((Tabela1[[#This Row],[Health]]+Tabela1[[#This Row],[Dexterity]])/2)+((Tabela1[[#This Row],[Defense]]+Tabela1[[#This Row],[Damage]])/2)</f>
        <v>231.6</v>
      </c>
    </row>
    <row r="14" spans="1:22" ht="18.75" customHeight="1" x14ac:dyDescent="0.25">
      <c r="A14" s="32" t="s">
        <v>75</v>
      </c>
      <c r="B14" s="39" t="s">
        <v>27</v>
      </c>
      <c r="C14" s="100">
        <v>7</v>
      </c>
      <c r="D14" s="97" t="s">
        <v>87</v>
      </c>
      <c r="E14" s="23">
        <f>(VLOOKUP(Tabela1[[#This Row],[Weapon]],WeaponStat[],2,FALSE)*VLOOKUP(Tabela1[[#This Row],[Extra Elemental]],ElementList[],2,FALSE))/2</f>
        <v>5</v>
      </c>
      <c r="F14" s="23">
        <f>VLOOKUP(Tabela1[[#This Row],[Weapon]],WeaponStat[],3,FALSE)+VLOOKUP(Tabela1[[#This Row],[Extra Elemental]],ElementList[],3,FALSE)</f>
        <v>2</v>
      </c>
      <c r="G14" s="24">
        <f>(VLOOKUP(Tabela1[[#This Row],[Weapon]],WeaponStat[],4,FALSE)/VLOOKUP(Tabela1[[#This Row],[Extra Elemental]],ElementList[],4,FALSE))</f>
        <v>0.4</v>
      </c>
      <c r="H14" s="44">
        <f>(VLOOKUP(Tabela1[[#This Row],[Weapon]],WeaponStat[],5,FALSE)+VLOOKUP(Tabela1[[#This Row],[Extra Elemental]],ElementList[],5,FALSE))</f>
        <v>15</v>
      </c>
      <c r="I14" s="103" t="s">
        <v>61</v>
      </c>
      <c r="J14" s="46" t="s">
        <v>15</v>
      </c>
      <c r="K14" s="22">
        <v>3</v>
      </c>
      <c r="L14" s="74">
        <v>1</v>
      </c>
      <c r="M14" s="79">
        <v>12</v>
      </c>
      <c r="N14" s="22">
        <v>15</v>
      </c>
      <c r="O14" s="80">
        <v>6</v>
      </c>
      <c r="P14" s="54">
        <f>Tabela1[[#This Row],[Lifespan]]*Tabela1[[#This Row],[Range]]*Tabela1[[#This Row],[Speed3]]</f>
        <v>21</v>
      </c>
      <c r="Q14" s="23">
        <f>Tabela1[[#This Row],[Range]]*Tabela1[[#This Row],[Speed3]]*Tabela1[[#This Row],[Speed]]</f>
        <v>6</v>
      </c>
      <c r="R14" s="23">
        <f>(Tabela1[[#This Row],[Force]]*Tabela1[[#This Row],[Speed]])*Tabela1[[#This Row],[Interval]]</f>
        <v>4</v>
      </c>
      <c r="S14" s="24">
        <f>Tabela1[[#This Row],[Dexterity]]/(Tabela1[[#This Row],[Dexterity]]+Tabela1[[#This Row],[Health]])</f>
        <v>0.22222222222222221</v>
      </c>
      <c r="T14" s="23">
        <f>((Tabela1[[#This Row],[Duration]]/50))*Tabela1[[#This Row],[Interval]]*Tabela1[[#This Row],[Speed]]*Tabela1[[#This Row],[Range]]*Tabela1[[#This Row],[Lifespan]]</f>
        <v>5.04</v>
      </c>
      <c r="U14" s="55">
        <f>Tabela1[[#This Row],[Defense]]/Tabela1[[#This Row],[Health]]/Tabela1[[#This Row],[Dexterity]]</f>
        <v>0.04</v>
      </c>
      <c r="V14" s="62">
        <f>((Tabela1[[#This Row],[Health]]+Tabela1[[#This Row],[Dexterity]])/2)+((Tabela1[[#This Row],[Defense]]+Tabela1[[#This Row],[Damage]])/2)</f>
        <v>18.02</v>
      </c>
    </row>
    <row r="15" spans="1:22" ht="18.75" customHeight="1" x14ac:dyDescent="0.25">
      <c r="A15" s="32" t="s">
        <v>75</v>
      </c>
      <c r="B15" s="39" t="s">
        <v>18</v>
      </c>
      <c r="C15" s="100">
        <v>7</v>
      </c>
      <c r="D15" s="97" t="s">
        <v>19</v>
      </c>
      <c r="E15" s="23">
        <f>(VLOOKUP(Tabela1[[#This Row],[Weapon]],WeaponStat[],2,FALSE)*VLOOKUP(Tabela1[[#This Row],[Extra Elemental]],ElementList[],2,FALSE))/2</f>
        <v>5</v>
      </c>
      <c r="F15" s="23">
        <f>VLOOKUP(Tabela1[[#This Row],[Weapon]],WeaponStat[],3,FALSE)+VLOOKUP(Tabela1[[#This Row],[Extra Elemental]],ElementList[],3,FALSE)</f>
        <v>4</v>
      </c>
      <c r="G15" s="24">
        <f>(VLOOKUP(Tabela1[[#This Row],[Weapon]],WeaponStat[],4,FALSE)/VLOOKUP(Tabela1[[#This Row],[Extra Elemental]],ElementList[],4,FALSE))</f>
        <v>0.8</v>
      </c>
      <c r="H15" s="44">
        <f>(VLOOKUP(Tabela1[[#This Row],[Weapon]],WeaponStat[],5,FALSE)+VLOOKUP(Tabela1[[#This Row],[Extra Elemental]],ElementList[],5,FALSE))</f>
        <v>20</v>
      </c>
      <c r="I15" s="103" t="s">
        <v>61</v>
      </c>
      <c r="J15" s="46" t="s">
        <v>15</v>
      </c>
      <c r="K15" s="22">
        <v>3</v>
      </c>
      <c r="L15" s="74">
        <v>1</v>
      </c>
      <c r="M15" s="79">
        <v>84</v>
      </c>
      <c r="N15" s="22">
        <v>44</v>
      </c>
      <c r="O15" s="80">
        <v>6</v>
      </c>
      <c r="P15" s="54">
        <f>Tabela1[[#This Row],[Lifespan]]*Tabela1[[#This Row],[Range]]*Tabela1[[#This Row],[Speed3]]</f>
        <v>21</v>
      </c>
      <c r="Q15" s="23">
        <f>Tabela1[[#This Row],[Range]]*Tabela1[[#This Row],[Speed3]]*Tabela1[[#This Row],[Speed]]</f>
        <v>12</v>
      </c>
      <c r="R15" s="23">
        <f>(Tabela1[[#This Row],[Force]]*Tabela1[[#This Row],[Speed]])*Tabela1[[#This Row],[Interval]]</f>
        <v>16</v>
      </c>
      <c r="S15" s="24">
        <f>Tabela1[[#This Row],[Dexterity]]/(Tabela1[[#This Row],[Dexterity]]+Tabela1[[#This Row],[Health]])</f>
        <v>0.36363636363636365</v>
      </c>
      <c r="T15" s="23">
        <f>((Tabela1[[#This Row],[Duration]]/50))*Tabela1[[#This Row],[Interval]]*Tabela1[[#This Row],[Speed]]*Tabela1[[#This Row],[Range]]*Tabela1[[#This Row],[Lifespan]]</f>
        <v>26.880000000000006</v>
      </c>
      <c r="U15" s="56">
        <f>Tabela1[[#This Row],[Defense]]/Tabela1[[#This Row],[Health]]/Tabela1[[#This Row],[Dexterity]]</f>
        <v>0.10666666666666669</v>
      </c>
      <c r="V15" s="62">
        <f>((Tabela1[[#This Row],[Health]]+Tabela1[[#This Row],[Dexterity]])/2)+((Tabela1[[#This Row],[Defense]]+Tabela1[[#This Row],[Damage]])/2)</f>
        <v>37.940000000000005</v>
      </c>
    </row>
    <row r="16" spans="1:22" ht="18.75" customHeight="1" x14ac:dyDescent="0.25">
      <c r="A16" s="32" t="s">
        <v>75</v>
      </c>
      <c r="B16" s="39" t="s">
        <v>16</v>
      </c>
      <c r="C16" s="100">
        <v>7</v>
      </c>
      <c r="D16" s="97" t="s">
        <v>26</v>
      </c>
      <c r="E16" s="23">
        <f>(VLOOKUP(Tabela1[[#This Row],[Weapon]],WeaponStat[],2,FALSE)*VLOOKUP(Tabela1[[#This Row],[Extra Elemental]],ElementList[],2,FALSE))/2</f>
        <v>7</v>
      </c>
      <c r="F16" s="23">
        <f>VLOOKUP(Tabela1[[#This Row],[Weapon]],WeaponStat[],3,FALSE)+VLOOKUP(Tabela1[[#This Row],[Extra Elemental]],ElementList[],3,FALSE)</f>
        <v>2</v>
      </c>
      <c r="G16" s="24">
        <f>(VLOOKUP(Tabela1[[#This Row],[Weapon]],WeaponStat[],4,FALSE)/VLOOKUP(Tabela1[[#This Row],[Extra Elemental]],ElementList[],4,FALSE))</f>
        <v>1</v>
      </c>
      <c r="H16" s="44">
        <f>(VLOOKUP(Tabela1[[#This Row],[Weapon]],WeaponStat[],5,FALSE)+VLOOKUP(Tabela1[[#This Row],[Extra Elemental]],ElementList[],5,FALSE))</f>
        <v>50</v>
      </c>
      <c r="I16" s="103" t="s">
        <v>61</v>
      </c>
      <c r="J16" s="46" t="s">
        <v>15</v>
      </c>
      <c r="K16" s="22">
        <v>3</v>
      </c>
      <c r="L16" s="74">
        <v>1</v>
      </c>
      <c r="M16" s="79">
        <v>116</v>
      </c>
      <c r="N16" s="22">
        <v>66</v>
      </c>
      <c r="O16" s="80">
        <v>8</v>
      </c>
      <c r="P16" s="54">
        <f>Tabela1[[#This Row],[Lifespan]]*Tabela1[[#This Row],[Range]]*Tabela1[[#This Row],[Speed3]]</f>
        <v>21</v>
      </c>
      <c r="Q16" s="23">
        <f>Tabela1[[#This Row],[Range]]*Tabela1[[#This Row],[Speed3]]*Tabela1[[#This Row],[Speed]]</f>
        <v>6</v>
      </c>
      <c r="R16" s="23">
        <f>(Tabela1[[#This Row],[Force]]*Tabela1[[#This Row],[Speed]])*Tabela1[[#This Row],[Interval]]</f>
        <v>14</v>
      </c>
      <c r="S16" s="24">
        <f>Tabela1[[#This Row],[Dexterity]]/(Tabela1[[#This Row],[Dexterity]]+Tabela1[[#This Row],[Health]])</f>
        <v>0.22222222222222221</v>
      </c>
      <c r="T16" s="23">
        <f>((Tabela1[[#This Row],[Duration]]/50))*Tabela1[[#This Row],[Interval]]*Tabela1[[#This Row],[Speed]]*Tabela1[[#This Row],[Range]]*Tabela1[[#This Row],[Lifespan]]</f>
        <v>42</v>
      </c>
      <c r="U16" s="56">
        <f>Tabela1[[#This Row],[Defense]]/Tabela1[[#This Row],[Health]]/Tabela1[[#This Row],[Dexterity]]</f>
        <v>0.33333333333333331</v>
      </c>
      <c r="V16" s="62">
        <f>((Tabela1[[#This Row],[Health]]+Tabela1[[#This Row],[Dexterity]])/2)+((Tabela1[[#This Row],[Defense]]+Tabela1[[#This Row],[Damage]])/2)</f>
        <v>41.5</v>
      </c>
    </row>
    <row r="17" spans="1:22" ht="18.75" customHeight="1" x14ac:dyDescent="0.25">
      <c r="A17" s="32" t="s">
        <v>58</v>
      </c>
      <c r="B17" s="40" t="s">
        <v>22</v>
      </c>
      <c r="C17" s="101">
        <v>8</v>
      </c>
      <c r="D17" s="96" t="s">
        <v>50</v>
      </c>
      <c r="E17" s="26">
        <f>(VLOOKUP(Tabela1[[#This Row],[Weapon]],WeaponStat[],2,FALSE)*VLOOKUP(Tabela1[[#This Row],[Extra Elemental]],ElementList[],2,FALSE))/2</f>
        <v>7</v>
      </c>
      <c r="F17" s="26">
        <f>VLOOKUP(Tabela1[[#This Row],[Weapon]],WeaponStat[],3,FALSE)+VLOOKUP(Tabela1[[#This Row],[Extra Elemental]],ElementList[],3,FALSE)</f>
        <v>3</v>
      </c>
      <c r="G17" s="27">
        <f>(VLOOKUP(Tabela1[[#This Row],[Weapon]],WeaponStat[],4,FALSE)/VLOOKUP(Tabela1[[#This Row],[Extra Elemental]],ElementList[],4,FALSE))</f>
        <v>0.8</v>
      </c>
      <c r="H17" s="89">
        <f>(VLOOKUP(Tabela1[[#This Row],[Weapon]],WeaponStat[],5,FALSE)+VLOOKUP(Tabela1[[#This Row],[Extra Elemental]],ElementList[],5,FALSE))</f>
        <v>30</v>
      </c>
      <c r="I17" s="103" t="s">
        <v>61</v>
      </c>
      <c r="J17" s="47" t="s">
        <v>15</v>
      </c>
      <c r="K17" s="25">
        <v>3</v>
      </c>
      <c r="L17" s="75">
        <v>1</v>
      </c>
      <c r="M17" s="81">
        <v>66</v>
      </c>
      <c r="N17" s="25">
        <v>36</v>
      </c>
      <c r="O17" s="82">
        <v>6</v>
      </c>
      <c r="P17" s="57">
        <f>Tabela1[[#This Row],[Lifespan]]*Tabela1[[#This Row],[Range]]*Tabela1[[#This Row],[Speed3]]</f>
        <v>24</v>
      </c>
      <c r="Q17" s="26">
        <f>Tabela1[[#This Row],[Range]]*Tabela1[[#This Row],[Speed3]]*Tabela1[[#This Row],[Speed]]</f>
        <v>9</v>
      </c>
      <c r="R17" s="26">
        <f>(Tabela1[[#This Row],[Force]]*Tabela1[[#This Row],[Speed]])*Tabela1[[#This Row],[Interval]]</f>
        <v>16.8</v>
      </c>
      <c r="S17" s="27">
        <f>Tabela1[[#This Row],[Dexterity]]/(Tabela1[[#This Row],[Dexterity]]+Tabela1[[#This Row],[Health]])</f>
        <v>0.27272727272727271</v>
      </c>
      <c r="T17" s="26">
        <f>((Tabela1[[#This Row],[Duration]]/50))*Tabela1[[#This Row],[Interval]]*Tabela1[[#This Row],[Speed]]*Tabela1[[#This Row],[Range]]*Tabela1[[#This Row],[Lifespan]]</f>
        <v>34.56</v>
      </c>
      <c r="U17" s="56">
        <f>Tabela1[[#This Row],[Defense]]/Tabela1[[#This Row],[Health]]/Tabela1[[#This Row],[Dexterity]]</f>
        <v>0.16000000000000003</v>
      </c>
      <c r="V17" s="62">
        <f>((Tabela1[[#This Row],[Health]]+Tabela1[[#This Row],[Dexterity]])/2)+((Tabela1[[#This Row],[Defense]]+Tabela1[[#This Row],[Damage]])/2)</f>
        <v>42.18</v>
      </c>
    </row>
    <row r="18" spans="1:22" ht="18.75" customHeight="1" x14ac:dyDescent="0.25">
      <c r="A18" s="32" t="s">
        <v>58</v>
      </c>
      <c r="B18" s="40" t="s">
        <v>20</v>
      </c>
      <c r="C18" s="101">
        <v>15</v>
      </c>
      <c r="D18" s="96" t="s">
        <v>21</v>
      </c>
      <c r="E18" s="26">
        <f>(VLOOKUP(Tabela1[[#This Row],[Weapon]],WeaponStat[],2,FALSE)*VLOOKUP(Tabela1[[#This Row],[Extra Elemental]],ElementList[],2,FALSE))/2</f>
        <v>10</v>
      </c>
      <c r="F18" s="26">
        <f>VLOOKUP(Tabela1[[#This Row],[Weapon]],WeaponStat[],3,FALSE)+VLOOKUP(Tabela1[[#This Row],[Extra Elemental]],ElementList[],3,FALSE)</f>
        <v>3</v>
      </c>
      <c r="G18" s="27">
        <f>(VLOOKUP(Tabela1[[#This Row],[Weapon]],WeaponStat[],4,FALSE)/VLOOKUP(Tabela1[[#This Row],[Extra Elemental]],ElementList[],4,FALSE))</f>
        <v>1</v>
      </c>
      <c r="H18" s="89">
        <f>(VLOOKUP(Tabela1[[#This Row],[Weapon]],WeaponStat[],5,FALSE)+VLOOKUP(Tabela1[[#This Row],[Extra Elemental]],ElementList[],5,FALSE))</f>
        <v>20</v>
      </c>
      <c r="I18" s="103" t="s">
        <v>61</v>
      </c>
      <c r="J18" s="47" t="s">
        <v>15</v>
      </c>
      <c r="K18" s="25">
        <v>3</v>
      </c>
      <c r="L18" s="75">
        <v>0.75</v>
      </c>
      <c r="M18" s="81">
        <v>78</v>
      </c>
      <c r="N18" s="25">
        <v>48</v>
      </c>
      <c r="O18" s="82">
        <v>9</v>
      </c>
      <c r="P18" s="57">
        <f>Tabela1[[#This Row],[Lifespan]]*Tabela1[[#This Row],[Range]]*Tabela1[[#This Row],[Speed3]]</f>
        <v>33.75</v>
      </c>
      <c r="Q18" s="26">
        <f>Tabela1[[#This Row],[Range]]*Tabela1[[#This Row],[Speed3]]*Tabela1[[#This Row],[Speed]]</f>
        <v>6.75</v>
      </c>
      <c r="R18" s="26">
        <f>(Tabela1[[#This Row],[Force]]*Tabela1[[#This Row],[Speed]])*Tabela1[[#This Row],[Interval]]</f>
        <v>30</v>
      </c>
      <c r="S18" s="27">
        <f>Tabela1[[#This Row],[Dexterity]]/(Tabela1[[#This Row],[Dexterity]]+Tabela1[[#This Row],[Health]])</f>
        <v>0.16666666666666666</v>
      </c>
      <c r="T18" s="26">
        <f>((Tabela1[[#This Row],[Duration]]/50))*Tabela1[[#This Row],[Interval]]*Tabela1[[#This Row],[Speed]]*Tabela1[[#This Row],[Range]]*Tabela1[[#This Row],[Lifespan]]</f>
        <v>54.000000000000007</v>
      </c>
      <c r="U18" s="56">
        <f>Tabela1[[#This Row],[Defense]]/Tabela1[[#This Row],[Health]]/Tabela1[[#This Row],[Dexterity]]</f>
        <v>0.23703703703703707</v>
      </c>
      <c r="V18" s="62">
        <f>((Tabela1[[#This Row],[Health]]+Tabela1[[#This Row],[Dexterity]])/2)+((Tabela1[[#This Row],[Defense]]+Tabela1[[#This Row],[Damage]])/2)</f>
        <v>62.25</v>
      </c>
    </row>
    <row r="19" spans="1:22" ht="18.75" customHeight="1" x14ac:dyDescent="0.25">
      <c r="A19" s="32" t="s">
        <v>58</v>
      </c>
      <c r="B19" s="40" t="s">
        <v>13</v>
      </c>
      <c r="C19" s="101">
        <v>9</v>
      </c>
      <c r="D19" s="96" t="s">
        <v>14</v>
      </c>
      <c r="E19" s="26">
        <f>(VLOOKUP(Tabela1[[#This Row],[Weapon]],WeaponStat[],2,FALSE)*VLOOKUP(Tabela1[[#This Row],[Extra Elemental]],ElementList[],2,FALSE))/2</f>
        <v>7</v>
      </c>
      <c r="F19" s="26">
        <f>VLOOKUP(Tabela1[[#This Row],[Weapon]],WeaponStat[],3,FALSE)+VLOOKUP(Tabela1[[#This Row],[Extra Elemental]],ElementList[],3,FALSE)</f>
        <v>7</v>
      </c>
      <c r="G19" s="27">
        <f>(VLOOKUP(Tabela1[[#This Row],[Weapon]],WeaponStat[],4,FALSE)/VLOOKUP(Tabela1[[#This Row],[Extra Elemental]],ElementList[],4,FALSE))</f>
        <v>0.6</v>
      </c>
      <c r="H19" s="89">
        <f>(VLOOKUP(Tabela1[[#This Row],[Weapon]],WeaponStat[],5,FALSE)+VLOOKUP(Tabela1[[#This Row],[Extra Elemental]],ElementList[],5,FALSE))</f>
        <v>30</v>
      </c>
      <c r="I19" s="103" t="s">
        <v>61</v>
      </c>
      <c r="J19" s="47" t="s">
        <v>15</v>
      </c>
      <c r="K19" s="25">
        <v>4</v>
      </c>
      <c r="L19" s="75">
        <v>1</v>
      </c>
      <c r="M19" s="81">
        <v>138</v>
      </c>
      <c r="N19" s="25">
        <v>78</v>
      </c>
      <c r="O19" s="82">
        <v>6</v>
      </c>
      <c r="P19" s="57">
        <f>Tabela1[[#This Row],[Lifespan]]*Tabela1[[#This Row],[Range]]*Tabela1[[#This Row],[Speed3]]</f>
        <v>36</v>
      </c>
      <c r="Q19" s="26">
        <f>Tabela1[[#This Row],[Range]]*Tabela1[[#This Row],[Speed3]]*Tabela1[[#This Row],[Speed]]</f>
        <v>28</v>
      </c>
      <c r="R19" s="26">
        <f>(Tabela1[[#This Row],[Force]]*Tabela1[[#This Row],[Speed]])*Tabela1[[#This Row],[Interval]]</f>
        <v>29.4</v>
      </c>
      <c r="S19" s="27">
        <f>Tabela1[[#This Row],[Dexterity]]/(Tabela1[[#This Row],[Dexterity]]+Tabela1[[#This Row],[Health]])</f>
        <v>0.4375</v>
      </c>
      <c r="T19" s="26">
        <f>((Tabela1[[#This Row],[Duration]]/50))*Tabela1[[#This Row],[Interval]]*Tabela1[[#This Row],[Speed]]*Tabela1[[#This Row],[Range]]*Tabela1[[#This Row],[Lifespan]]</f>
        <v>90.72</v>
      </c>
      <c r="U19" s="56">
        <f>Tabela1[[#This Row],[Defense]]/Tabela1[[#This Row],[Health]]/Tabela1[[#This Row],[Dexterity]]</f>
        <v>0.09</v>
      </c>
      <c r="V19" s="62">
        <f>((Tabela1[[#This Row],[Health]]+Tabela1[[#This Row],[Dexterity]])/2)+((Tabela1[[#This Row],[Defense]]+Tabela1[[#This Row],[Damage]])/2)</f>
        <v>92.06</v>
      </c>
    </row>
    <row r="20" spans="1:22" ht="18.75" customHeight="1" x14ac:dyDescent="0.25">
      <c r="A20" s="32" t="s">
        <v>58</v>
      </c>
      <c r="B20" s="40" t="s">
        <v>51</v>
      </c>
      <c r="C20" s="101">
        <v>12</v>
      </c>
      <c r="D20" s="96" t="s">
        <v>38</v>
      </c>
      <c r="E20" s="26">
        <f>(VLOOKUP(Tabela1[[#This Row],[Weapon]],WeaponStat[],2,FALSE)*VLOOKUP(Tabela1[[#This Row],[Extra Elemental]],ElementList[],2,FALSE))/2</f>
        <v>11</v>
      </c>
      <c r="F20" s="26">
        <f>VLOOKUP(Tabela1[[#This Row],[Weapon]],WeaponStat[],3,FALSE)+VLOOKUP(Tabela1[[#This Row],[Extra Elemental]],ElementList[],3,FALSE)</f>
        <v>4</v>
      </c>
      <c r="G20" s="27">
        <f>(VLOOKUP(Tabela1[[#This Row],[Weapon]],WeaponStat[],4,FALSE)/VLOOKUP(Tabela1[[#This Row],[Extra Elemental]],ElementList[],4,FALSE))</f>
        <v>1.2</v>
      </c>
      <c r="H20" s="89">
        <f>(VLOOKUP(Tabela1[[#This Row],[Weapon]],WeaponStat[],5,FALSE)+VLOOKUP(Tabela1[[#This Row],[Extra Elemental]],ElementList[],5,FALSE))</f>
        <v>50</v>
      </c>
      <c r="I20" s="103" t="s">
        <v>61</v>
      </c>
      <c r="J20" s="47" t="s">
        <v>23</v>
      </c>
      <c r="K20" s="25">
        <v>5</v>
      </c>
      <c r="L20" s="75">
        <v>1</v>
      </c>
      <c r="M20" s="81">
        <v>15</v>
      </c>
      <c r="N20" s="25">
        <v>20</v>
      </c>
      <c r="O20" s="82">
        <v>21</v>
      </c>
      <c r="P20" s="57">
        <f>Tabela1[[#This Row],[Lifespan]]*Tabela1[[#This Row],[Range]]*Tabela1[[#This Row],[Speed3]]</f>
        <v>60</v>
      </c>
      <c r="Q20" s="26">
        <f>Tabela1[[#This Row],[Range]]*Tabela1[[#This Row],[Speed3]]*Tabela1[[#This Row],[Speed]]</f>
        <v>20</v>
      </c>
      <c r="R20" s="26">
        <f>(Tabela1[[#This Row],[Force]]*Tabela1[[#This Row],[Speed]])*Tabela1[[#This Row],[Interval]]</f>
        <v>52.8</v>
      </c>
      <c r="S20" s="27">
        <f>Tabela1[[#This Row],[Dexterity]]/(Tabela1[[#This Row],[Dexterity]]+Tabela1[[#This Row],[Health]])</f>
        <v>0.25</v>
      </c>
      <c r="T20" s="26">
        <f>((Tabela1[[#This Row],[Duration]]/50))*Tabela1[[#This Row],[Interval]]*Tabela1[[#This Row],[Speed]]*Tabela1[[#This Row],[Range]]*Tabela1[[#This Row],[Lifespan]]</f>
        <v>288</v>
      </c>
      <c r="U20" s="56">
        <f>Tabela1[[#This Row],[Defense]]/Tabela1[[#This Row],[Health]]/Tabela1[[#This Row],[Dexterity]]</f>
        <v>0.24</v>
      </c>
      <c r="V20" s="62">
        <f>((Tabela1[[#This Row],[Health]]+Tabela1[[#This Row],[Dexterity]])/2)+((Tabela1[[#This Row],[Defense]]+Tabela1[[#This Row],[Damage]])/2)</f>
        <v>210.4</v>
      </c>
    </row>
    <row r="21" spans="1:22" ht="18.75" customHeight="1" thickBot="1" x14ac:dyDescent="0.3">
      <c r="A21" s="93" t="s">
        <v>58</v>
      </c>
      <c r="B21" s="41" t="s">
        <v>24</v>
      </c>
      <c r="C21" s="102">
        <v>15</v>
      </c>
      <c r="D21" s="98" t="s">
        <v>25</v>
      </c>
      <c r="E21" s="35">
        <f>(VLOOKUP(Tabela1[[#This Row],[Weapon]],WeaponStat[],2,FALSE)*VLOOKUP(Tabela1[[#This Row],[Extra Elemental]],ElementList[],2,FALSE))/2</f>
        <v>6</v>
      </c>
      <c r="F21" s="35">
        <f>VLOOKUP(Tabela1[[#This Row],[Weapon]],WeaponStat[],3,FALSE)+VLOOKUP(Tabela1[[#This Row],[Extra Elemental]],ElementList[],3,FALSE)</f>
        <v>5</v>
      </c>
      <c r="G21" s="36">
        <f>(VLOOKUP(Tabela1[[#This Row],[Weapon]],WeaponStat[],4,FALSE)/VLOOKUP(Tabela1[[#This Row],[Extra Elemental]],ElementList[],4,FALSE))</f>
        <v>0.9</v>
      </c>
      <c r="H21" s="94">
        <f>(VLOOKUP(Tabela1[[#This Row],[Weapon]],WeaponStat[],5,FALSE)+VLOOKUP(Tabela1[[#This Row],[Extra Elemental]],ElementList[],5,FALSE))</f>
        <v>20</v>
      </c>
      <c r="I21" s="104" t="s">
        <v>61</v>
      </c>
      <c r="J21" s="48" t="s">
        <v>23</v>
      </c>
      <c r="K21" s="34">
        <v>4</v>
      </c>
      <c r="L21" s="76">
        <v>1</v>
      </c>
      <c r="M21" s="83">
        <v>116</v>
      </c>
      <c r="N21" s="84">
        <v>66</v>
      </c>
      <c r="O21" s="85">
        <v>8</v>
      </c>
      <c r="P21" s="58">
        <f>Tabela1[[#This Row],[Lifespan]]*Tabela1[[#This Row],[Range]]*Tabela1[[#This Row],[Speed3]]</f>
        <v>60</v>
      </c>
      <c r="Q21" s="59">
        <f>Tabela1[[#This Row],[Range]]*Tabela1[[#This Row],[Speed3]]*Tabela1[[#This Row],[Speed]]</f>
        <v>20</v>
      </c>
      <c r="R21" s="59">
        <f>(Tabela1[[#This Row],[Force]]*Tabela1[[#This Row],[Speed]])*Tabela1[[#This Row],[Interval]]</f>
        <v>27</v>
      </c>
      <c r="S21" s="88">
        <f>Tabela1[[#This Row],[Dexterity]]/(Tabela1[[#This Row],[Dexterity]]+Tabela1[[#This Row],[Health]])</f>
        <v>0.25</v>
      </c>
      <c r="T21" s="59">
        <f>((Tabela1[[#This Row],[Duration]]/50))*Tabela1[[#This Row],[Interval]]*Tabela1[[#This Row],[Speed]]*Tabela1[[#This Row],[Range]]*Tabela1[[#This Row],[Lifespan]]</f>
        <v>108.00000000000001</v>
      </c>
      <c r="U21" s="60">
        <f>Tabela1[[#This Row],[Defense]]/Tabela1[[#This Row],[Health]]/Tabela1[[#This Row],[Dexterity]]</f>
        <v>9.0000000000000011E-2</v>
      </c>
      <c r="V21" s="63">
        <f>((Tabela1[[#This Row],[Health]]+Tabela1[[#This Row],[Dexterity]])/2)+((Tabela1[[#This Row],[Defense]]+Tabela1[[#This Row],[Damage]])/2)</f>
        <v>107.5</v>
      </c>
    </row>
    <row r="22" spans="1:22" ht="18.75" customHeight="1" thickTop="1" x14ac:dyDescent="0.25"/>
  </sheetData>
  <mergeCells count="4">
    <mergeCell ref="D3:H3"/>
    <mergeCell ref="J3:L3"/>
    <mergeCell ref="M3:O3"/>
    <mergeCell ref="P3:V3"/>
  </mergeCells>
  <phoneticPr fontId="6" type="noConversion"/>
  <conditionalFormatting sqref="P6:P21">
    <cfRule type="dataBar" priority="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{5BFDA3A4-05C8-4A8B-93FD-9A17E67136F8}</x14:id>
        </ext>
      </extLst>
    </cfRule>
  </conditionalFormatting>
  <conditionalFormatting sqref="Q6:Q21">
    <cfRule type="dataBar" priority="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{9F48FDE0-5905-4553-8CDA-69991893CA08}</x14:id>
        </ext>
      </extLst>
    </cfRule>
  </conditionalFormatting>
  <conditionalFormatting sqref="T6:T21">
    <cfRule type="dataBar" priority="3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{222DE895-D10A-413B-8531-EC6341ADC065}</x14:id>
        </ext>
      </extLst>
    </cfRule>
  </conditionalFormatting>
  <conditionalFormatting sqref="V6:V21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21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{88AF854C-17EB-4BD2-B357-D9841A9BD146}</x14:id>
        </ext>
      </extLst>
    </cfRule>
  </conditionalFormatting>
  <conditionalFormatting sqref="R6:S21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{7AB6A732-F0DD-48A5-A358-FA0DDF7C076A}</x14:id>
        </ext>
      </extLst>
    </cfRule>
  </conditionalFormatting>
  <conditionalFormatting sqref="E6:E21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{88CF5625-F3A7-4776-97B0-564222F28E8D}</x14:id>
        </ext>
      </extLst>
    </cfRule>
  </conditionalFormatting>
  <conditionalFormatting sqref="F6:F21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{ACD55CFE-E28A-4839-8BF2-A7059CDBE611}</x14:id>
        </ext>
      </extLst>
    </cfRule>
  </conditionalFormatting>
  <conditionalFormatting sqref="G6:G21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{C9E000EC-AEB3-4C15-9BCE-79A92A78E7B6}</x14:id>
        </ext>
      </extLst>
    </cfRule>
  </conditionalFormatting>
  <conditionalFormatting sqref="C6:C21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{87B29A73-B902-4873-B879-22A9EF5D6A58}</x14:id>
        </ext>
      </extLst>
    </cfRule>
  </conditionalFormatting>
  <conditionalFormatting sqref="F6:F20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{7D974FC8-D3A8-456A-83BC-2C10220E7BA3}</x14:id>
        </ext>
      </extLst>
    </cfRule>
  </conditionalFormatting>
  <conditionalFormatting sqref="H6:H21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{B8FF8FD6-86EF-40D5-97F6-2FDEC89E60FD}</x14:id>
        </ext>
      </extLst>
    </cfRule>
  </conditionalFormatting>
  <conditionalFormatting sqref="K6:K21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{6A852127-5C01-4E04-87DB-5EC7206AD89F}</x14:id>
        </ext>
      </extLst>
    </cfRule>
  </conditionalFormatting>
  <conditionalFormatting sqref="L6:L2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{976F45EA-C12F-4CBB-9C6C-0B137A9EE545}</x14:id>
        </ext>
      </extLst>
    </cfRule>
  </conditionalFormatting>
  <conditionalFormatting sqref="S6:S21">
    <cfRule type="dataBar" priority="1">
      <dataBar>
        <cfvo type="percent" val="0"/>
        <cfvo type="percent" val="100"/>
        <color rgb="FFFF555A"/>
      </dataBar>
      <extLst>
        <ext xmlns:x14="http://schemas.microsoft.com/office/spreadsheetml/2009/9/main" uri="{B025F937-C7B1-47D3-B67F-A62EFF666E3E}">
          <x14:id>{0ADC0E9A-68FF-453A-AE89-46637FFCBFB4}</x14:id>
        </ext>
      </extLst>
    </cfRule>
  </conditionalFormatting>
  <dataValidations count="2">
    <dataValidation type="list" allowBlank="1" showInputMessage="1" showErrorMessage="1" sqref="D6:D21" xr:uid="{87B486FF-FCA3-4561-AE7F-2C3F21267004}">
      <formula1>weapon</formula1>
    </dataValidation>
    <dataValidation type="list" allowBlank="1" showInputMessage="1" showErrorMessage="1" sqref="I6:I21" xr:uid="{7B10B6D9-8CCF-4B7F-9494-71CD3D557C92}">
      <formula1>Elemental</formula1>
    </dataValidation>
  </dataValidations>
  <pageMargins left="0.25" right="0.25" top="0.75" bottom="0.75" header="0.3" footer="0.3"/>
  <pageSetup paperSize="9" scale="65" fitToHeight="0" orientation="landscape" blackAndWhite="1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FDA3A4-05C8-4A8B-93FD-9A17E67136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P6:P21</xm:sqref>
        </x14:conditionalFormatting>
        <x14:conditionalFormatting xmlns:xm="http://schemas.microsoft.com/office/excel/2006/main">
          <x14:cfRule type="dataBar" id="{9F48FDE0-5905-4553-8CDA-69991893CA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Q6:Q21</xm:sqref>
        </x14:conditionalFormatting>
        <x14:conditionalFormatting xmlns:xm="http://schemas.microsoft.com/office/excel/2006/main">
          <x14:cfRule type="dataBar" id="{222DE895-D10A-413B-8531-EC6341ADC06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T6:T21</xm:sqref>
        </x14:conditionalFormatting>
        <x14:conditionalFormatting xmlns:xm="http://schemas.microsoft.com/office/excel/2006/main">
          <x14:cfRule type="dataBar" id="{88AF854C-17EB-4BD2-B357-D9841A9BD14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U6:U21</xm:sqref>
        </x14:conditionalFormatting>
        <x14:conditionalFormatting xmlns:xm="http://schemas.microsoft.com/office/excel/2006/main">
          <x14:cfRule type="dataBar" id="{7AB6A732-F0DD-48A5-A358-FA0DDF7C07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R6:S21</xm:sqref>
        </x14:conditionalFormatting>
        <x14:conditionalFormatting xmlns:xm="http://schemas.microsoft.com/office/excel/2006/main">
          <x14:cfRule type="dataBar" id="{88CF5625-F3A7-4776-97B0-564222F28E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E6:E21</xm:sqref>
        </x14:conditionalFormatting>
        <x14:conditionalFormatting xmlns:xm="http://schemas.microsoft.com/office/excel/2006/main">
          <x14:cfRule type="dataBar" id="{ACD55CFE-E28A-4839-8BF2-A7059CDBE6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F6:F21</xm:sqref>
        </x14:conditionalFormatting>
        <x14:conditionalFormatting xmlns:xm="http://schemas.microsoft.com/office/excel/2006/main">
          <x14:cfRule type="dataBar" id="{C9E000EC-AEB3-4C15-9BCE-79A92A78E7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G6:G21</xm:sqref>
        </x14:conditionalFormatting>
        <x14:conditionalFormatting xmlns:xm="http://schemas.microsoft.com/office/excel/2006/main">
          <x14:cfRule type="dataBar" id="{87B29A73-B902-4873-B879-22A9EF5D6A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C6:C21</xm:sqref>
        </x14:conditionalFormatting>
        <x14:conditionalFormatting xmlns:xm="http://schemas.microsoft.com/office/excel/2006/main">
          <x14:cfRule type="dataBar" id="{7D974FC8-D3A8-456A-83BC-2C10220E7BA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F6:F20</xm:sqref>
        </x14:conditionalFormatting>
        <x14:conditionalFormatting xmlns:xm="http://schemas.microsoft.com/office/excel/2006/main">
          <x14:cfRule type="dataBar" id="{B8FF8FD6-86EF-40D5-97F6-2FDEC89E60F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H6:H21</xm:sqref>
        </x14:conditionalFormatting>
        <x14:conditionalFormatting xmlns:xm="http://schemas.microsoft.com/office/excel/2006/main">
          <x14:cfRule type="dataBar" id="{6A852127-5C01-4E04-87DB-5EC7206AD89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K6:K21</xm:sqref>
        </x14:conditionalFormatting>
        <x14:conditionalFormatting xmlns:xm="http://schemas.microsoft.com/office/excel/2006/main">
          <x14:cfRule type="dataBar" id="{976F45EA-C12F-4CBB-9C6C-0B137A9EE54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L6:L21</xm:sqref>
        </x14:conditionalFormatting>
        <x14:conditionalFormatting xmlns:xm="http://schemas.microsoft.com/office/excel/2006/main">
          <x14:cfRule type="dataBar" id="{0ADC0E9A-68FF-453A-AE89-46637FFCBFB4}">
            <x14:dataBar minLength="0" maxLength="100" border="1" negativeBarBorderColorSameAsPositive="0">
              <x14:cfvo type="percent">
                <xm:f>0</xm:f>
              </x14:cfvo>
              <x14:cfvo type="percent">
                <xm:f>100</xm:f>
              </x14:cfvo>
              <x14:borderColor rgb="FFFF555A"/>
              <x14:negativeFillColor rgb="FFFF0000"/>
              <x14:negativeBorderColor rgb="FFFF0000"/>
              <x14:axisColor rgb="FF000000"/>
            </x14:dataBar>
          </x14:cfRule>
          <xm:sqref>S6:S21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34D4-4B68-4826-91A6-4E06FF606F08}">
  <dimension ref="A1:S23"/>
  <sheetViews>
    <sheetView showGridLines="0" showRowColHeaders="0" workbookViewId="0">
      <pane ySplit="3" topLeftCell="A4" activePane="bottomLeft" state="frozen"/>
      <selection pane="bottomLeft" activeCell="A7" sqref="A7"/>
    </sheetView>
  </sheetViews>
  <sheetFormatPr defaultRowHeight="18.75" customHeight="1" x14ac:dyDescent="0.25"/>
  <cols>
    <col min="1" max="1" width="17.28515625" bestFit="1" customWidth="1"/>
    <col min="4" max="4" width="10" customWidth="1"/>
    <col min="5" max="5" width="10.85546875" customWidth="1"/>
    <col min="6" max="6" width="12" customWidth="1"/>
    <col min="7" max="7" width="13" customWidth="1"/>
    <col min="8" max="8" width="12" customWidth="1"/>
    <col min="9" max="9" width="12.28515625" bestFit="1" customWidth="1"/>
    <col min="11" max="11" width="13" bestFit="1" customWidth="1"/>
  </cols>
  <sheetData>
    <row r="1" spans="1:19" s="14" customFormat="1" ht="22.5" customHeight="1" x14ac:dyDescent="0.3">
      <c r="A1" s="15" t="s">
        <v>56</v>
      </c>
    </row>
    <row r="2" spans="1:19" ht="7.5" customHeight="1" x14ac:dyDescent="0.25"/>
    <row r="3" spans="1:19" ht="37.5" customHeight="1" x14ac:dyDescent="0.25">
      <c r="A3" s="5" t="s">
        <v>3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73</v>
      </c>
      <c r="G3" s="6" t="s">
        <v>81</v>
      </c>
      <c r="H3" s="6" t="s">
        <v>82</v>
      </c>
      <c r="I3" s="5" t="s">
        <v>4</v>
      </c>
      <c r="J3" s="10" t="s">
        <v>80</v>
      </c>
      <c r="L3" s="16" t="s">
        <v>80</v>
      </c>
      <c r="M3" s="17" t="s">
        <v>5</v>
      </c>
      <c r="N3" s="17" t="s">
        <v>6</v>
      </c>
      <c r="O3" s="17" t="s">
        <v>7</v>
      </c>
      <c r="P3" s="17" t="s">
        <v>8</v>
      </c>
      <c r="Q3" s="17" t="s">
        <v>73</v>
      </c>
      <c r="R3" s="86" t="s">
        <v>81</v>
      </c>
      <c r="S3" s="86" t="s">
        <v>82</v>
      </c>
    </row>
    <row r="4" spans="1:19" ht="18.75" customHeight="1" x14ac:dyDescent="0.25">
      <c r="A4" s="92" t="s">
        <v>76</v>
      </c>
      <c r="B4" s="6">
        <v>2</v>
      </c>
      <c r="C4" s="6">
        <v>3</v>
      </c>
      <c r="D4" s="20">
        <v>0.25</v>
      </c>
      <c r="E4" s="6">
        <v>10</v>
      </c>
      <c r="F4" s="90">
        <f>(WeaponStat[[#This Row],[Force]]*WeaponStat[[#This Row],[Speed]])*WeaponStat[[#This Row],[Interval]]</f>
        <v>1.5</v>
      </c>
      <c r="G4" s="11">
        <f>(((WeaponStat[[#This Row],[Duration]]/50))/WeaponStat[[#This Row],[Interval]])</f>
        <v>0.8</v>
      </c>
      <c r="H4" s="11">
        <f>1/(((WeaponStat[[#This Row],[Duration]]/50))/WeaponStat[[#This Row],[Interval]])</f>
        <v>1.25</v>
      </c>
      <c r="I4" s="10"/>
      <c r="J4" s="6"/>
      <c r="L4" s="4" t="s">
        <v>42</v>
      </c>
      <c r="M4" s="1">
        <v>5</v>
      </c>
      <c r="N4" s="1">
        <v>4</v>
      </c>
      <c r="O4" s="2">
        <v>0.7</v>
      </c>
      <c r="P4" s="1">
        <v>50</v>
      </c>
      <c r="Q4" s="1">
        <f>(ElementList[[#This Row],[Force]]*ElementList[[#This Row],[Speed]])*ElementList[[#This Row],[Interval]]</f>
        <v>14</v>
      </c>
      <c r="R4" s="11">
        <f>(((ElementList[[#This Row],[Duration]]/50))/ElementList[[#This Row],[Interval]])</f>
        <v>1.4285714285714286</v>
      </c>
      <c r="S4" s="11">
        <f>1/(((ElementList[[#This Row],[Duration]]/50))/ElementList[[#This Row],[Interval]])</f>
        <v>0.7</v>
      </c>
    </row>
    <row r="5" spans="1:19" ht="18.75" customHeight="1" x14ac:dyDescent="0.25">
      <c r="A5" s="4" t="s">
        <v>34</v>
      </c>
      <c r="B5" s="1">
        <v>4</v>
      </c>
      <c r="C5" s="1">
        <v>3</v>
      </c>
      <c r="D5" s="2">
        <v>0.8</v>
      </c>
      <c r="E5" s="1">
        <v>40</v>
      </c>
      <c r="F5" s="3">
        <f>(WeaponStat[[#This Row],[Force]]*WeaponStat[[#This Row],[Speed]])*WeaponStat[[#This Row],[Interval]]</f>
        <v>9.6000000000000014</v>
      </c>
      <c r="G5" s="11">
        <f>(((WeaponStat[[#This Row],[Duration]]/50))/WeaponStat[[#This Row],[Interval]])</f>
        <v>1</v>
      </c>
      <c r="H5" s="11">
        <f>1/(((WeaponStat[[#This Row],[Duration]]/50))/WeaponStat[[#This Row],[Interval]])</f>
        <v>1</v>
      </c>
      <c r="I5" s="6" t="s">
        <v>3</v>
      </c>
      <c r="J5" s="6" t="s">
        <v>45</v>
      </c>
      <c r="L5" s="4" t="s">
        <v>43</v>
      </c>
      <c r="M5" s="1">
        <v>9</v>
      </c>
      <c r="N5" s="1">
        <v>5</v>
      </c>
      <c r="O5" s="2">
        <v>0.6</v>
      </c>
      <c r="P5" s="1">
        <v>50</v>
      </c>
      <c r="Q5" s="1">
        <f>(ElementList[[#This Row],[Force]]*ElementList[[#This Row],[Speed]])*ElementList[[#This Row],[Interval]]</f>
        <v>27</v>
      </c>
      <c r="R5" s="11">
        <f>(((ElementList[[#This Row],[Duration]]/50))/ElementList[[#This Row],[Interval]])</f>
        <v>1.6666666666666667</v>
      </c>
      <c r="S5" s="11">
        <f>1/(((ElementList[[#This Row],[Duration]]/50))/ElementList[[#This Row],[Interval]])</f>
        <v>0.6</v>
      </c>
    </row>
    <row r="6" spans="1:19" ht="18.75" customHeight="1" x14ac:dyDescent="0.25">
      <c r="A6" s="8" t="s">
        <v>87</v>
      </c>
      <c r="B6" s="7">
        <v>5</v>
      </c>
      <c r="C6" s="7">
        <v>2</v>
      </c>
      <c r="D6" s="9">
        <v>0.4</v>
      </c>
      <c r="E6" s="7">
        <v>15</v>
      </c>
      <c r="F6" s="91">
        <f>(WeaponStat[[#This Row],[Force]]*WeaponStat[[#This Row],[Speed]])*WeaponStat[[#This Row],[Interval]]</f>
        <v>4</v>
      </c>
      <c r="G6" s="12">
        <f>(((WeaponStat[[#This Row],[Duration]]/50))/WeaponStat[[#This Row],[Interval]])</f>
        <v>0.74999999999999989</v>
      </c>
      <c r="H6" s="12">
        <f>1/(((WeaponStat[[#This Row],[Duration]]/50))/WeaponStat[[#This Row],[Interval]])</f>
        <v>1.3333333333333335</v>
      </c>
      <c r="I6" s="6" t="s">
        <v>3</v>
      </c>
      <c r="J6" s="6"/>
      <c r="L6" s="4" t="s">
        <v>44</v>
      </c>
      <c r="M6" s="1">
        <v>9</v>
      </c>
      <c r="N6" s="1">
        <v>3</v>
      </c>
      <c r="O6" s="2">
        <v>1</v>
      </c>
      <c r="P6" s="1">
        <v>50</v>
      </c>
      <c r="Q6" s="1">
        <f>(ElementList[[#This Row],[Force]]*ElementList[[#This Row],[Speed]])*ElementList[[#This Row],[Interval]]</f>
        <v>27</v>
      </c>
      <c r="R6" s="11">
        <f>(((ElementList[[#This Row],[Duration]]/50))/ElementList[[#This Row],[Interval]])</f>
        <v>1</v>
      </c>
      <c r="S6" s="11">
        <f>1/(((ElementList[[#This Row],[Duration]]/50))/ElementList[[#This Row],[Interval]])</f>
        <v>1</v>
      </c>
    </row>
    <row r="7" spans="1:19" ht="18.75" customHeight="1" x14ac:dyDescent="0.25">
      <c r="A7" s="8" t="s">
        <v>28</v>
      </c>
      <c r="B7" s="7">
        <v>5</v>
      </c>
      <c r="C7" s="7">
        <v>3</v>
      </c>
      <c r="D7" s="9">
        <v>0.4</v>
      </c>
      <c r="E7" s="7">
        <v>15</v>
      </c>
      <c r="F7" s="91">
        <f>(WeaponStat[[#This Row],[Force]]*WeaponStat[[#This Row],[Speed]])*WeaponStat[[#This Row],[Interval]]</f>
        <v>6</v>
      </c>
      <c r="G7" s="12">
        <f>(((WeaponStat[[#This Row],[Duration]]/50))/WeaponStat[[#This Row],[Interval]])</f>
        <v>0.74999999999999989</v>
      </c>
      <c r="H7" s="12">
        <f>1/(((WeaponStat[[#This Row],[Duration]]/50))/WeaponStat[[#This Row],[Interval]])</f>
        <v>1.3333333333333335</v>
      </c>
      <c r="I7" s="6" t="s">
        <v>3</v>
      </c>
      <c r="J7" s="6"/>
      <c r="L7" s="4" t="s">
        <v>45</v>
      </c>
      <c r="M7" s="1">
        <v>6</v>
      </c>
      <c r="N7" s="1">
        <v>3</v>
      </c>
      <c r="O7" s="2">
        <v>1</v>
      </c>
      <c r="P7" s="1">
        <v>50</v>
      </c>
      <c r="Q7" s="1">
        <f>(ElementList[[#This Row],[Force]]*ElementList[[#This Row],[Speed]])*ElementList[[#This Row],[Interval]]</f>
        <v>18</v>
      </c>
      <c r="R7" s="11">
        <f>(((ElementList[[#This Row],[Duration]]/50))/ElementList[[#This Row],[Interval]])</f>
        <v>1</v>
      </c>
      <c r="S7" s="11">
        <f>1/(((ElementList[[#This Row],[Duration]]/50))/ElementList[[#This Row],[Interval]])</f>
        <v>1</v>
      </c>
    </row>
    <row r="8" spans="1:19" ht="18.75" customHeight="1" x14ac:dyDescent="0.25">
      <c r="A8" s="8" t="s">
        <v>19</v>
      </c>
      <c r="B8" s="7">
        <v>5</v>
      </c>
      <c r="C8" s="7">
        <v>4</v>
      </c>
      <c r="D8" s="9">
        <v>0.8</v>
      </c>
      <c r="E8" s="7">
        <v>20</v>
      </c>
      <c r="F8" s="91">
        <f>(WeaponStat[[#This Row],[Force]]*WeaponStat[[#This Row],[Speed]])*WeaponStat[[#This Row],[Interval]]</f>
        <v>16</v>
      </c>
      <c r="G8" s="12">
        <f>(((WeaponStat[[#This Row],[Duration]]/50))/WeaponStat[[#This Row],[Interval]])</f>
        <v>0.5</v>
      </c>
      <c r="H8" s="12">
        <f>1/(((WeaponStat[[#This Row],[Duration]]/50))/WeaponStat[[#This Row],[Interval]])</f>
        <v>2</v>
      </c>
      <c r="I8" s="6" t="s">
        <v>3</v>
      </c>
      <c r="J8" s="6"/>
      <c r="L8" s="18" t="s">
        <v>61</v>
      </c>
      <c r="M8" s="13">
        <v>2</v>
      </c>
      <c r="N8" s="13">
        <v>0</v>
      </c>
      <c r="O8" s="19">
        <v>1</v>
      </c>
      <c r="P8" s="13">
        <v>0</v>
      </c>
      <c r="Q8" s="13">
        <f>(ElementList[[#This Row],[Force]]*ElementList[[#This Row],[Speed]])*ElementList[[#This Row],[Interval]]</f>
        <v>0</v>
      </c>
      <c r="R8" s="11">
        <f>(((ElementList[[#This Row],[Duration]]/50))/ElementList[[#This Row],[Interval]])</f>
        <v>0</v>
      </c>
      <c r="S8" s="11" t="e">
        <f>1/(((ElementList[[#This Row],[Duration]]/50))/ElementList[[#This Row],[Interval]])</f>
        <v>#DIV/0!</v>
      </c>
    </row>
    <row r="9" spans="1:19" ht="18.75" customHeight="1" x14ac:dyDescent="0.25">
      <c r="A9" s="4" t="s">
        <v>25</v>
      </c>
      <c r="B9" s="1">
        <v>6</v>
      </c>
      <c r="C9" s="1">
        <v>5</v>
      </c>
      <c r="D9" s="2">
        <v>0.9</v>
      </c>
      <c r="E9" s="1">
        <v>20</v>
      </c>
      <c r="F9" s="3">
        <f>(WeaponStat[[#This Row],[Force]]*WeaponStat[[#This Row],[Speed]])*WeaponStat[[#This Row],[Interval]]</f>
        <v>27</v>
      </c>
      <c r="G9" s="11">
        <f>(((WeaponStat[[#This Row],[Duration]]/50))/WeaponStat[[#This Row],[Interval]])</f>
        <v>0.44444444444444448</v>
      </c>
      <c r="H9" s="11">
        <f>1/(((WeaponStat[[#This Row],[Duration]]/50))/WeaponStat[[#This Row],[Interval]])</f>
        <v>2.25</v>
      </c>
      <c r="I9" s="6" t="s">
        <v>55</v>
      </c>
      <c r="J9" s="6" t="s">
        <v>42</v>
      </c>
    </row>
    <row r="10" spans="1:19" ht="18.75" customHeight="1" x14ac:dyDescent="0.25">
      <c r="A10" s="4" t="s">
        <v>26</v>
      </c>
      <c r="B10" s="1">
        <v>7</v>
      </c>
      <c r="C10" s="1">
        <v>2</v>
      </c>
      <c r="D10" s="2">
        <v>1</v>
      </c>
      <c r="E10" s="1">
        <v>50</v>
      </c>
      <c r="F10" s="3">
        <f>(WeaponStat[[#This Row],[Force]]*WeaponStat[[#This Row],[Speed]])*WeaponStat[[#This Row],[Interval]]</f>
        <v>14</v>
      </c>
      <c r="G10" s="11">
        <f>(((WeaponStat[[#This Row],[Duration]]/50))/WeaponStat[[#This Row],[Interval]])</f>
        <v>1</v>
      </c>
      <c r="H10" s="11">
        <f>1/(((WeaponStat[[#This Row],[Duration]]/50))/WeaponStat[[#This Row],[Interval]])</f>
        <v>1</v>
      </c>
      <c r="I10" s="6" t="s">
        <v>55</v>
      </c>
      <c r="J10" s="6" t="s">
        <v>43</v>
      </c>
    </row>
    <row r="11" spans="1:19" ht="18.75" customHeight="1" x14ac:dyDescent="0.25">
      <c r="A11" s="4" t="s">
        <v>14</v>
      </c>
      <c r="B11" s="1">
        <v>7</v>
      </c>
      <c r="C11" s="1">
        <v>7</v>
      </c>
      <c r="D11" s="2">
        <v>0.6</v>
      </c>
      <c r="E11" s="1">
        <v>30</v>
      </c>
      <c r="F11" s="3">
        <f>(WeaponStat[[#This Row],[Force]]*WeaponStat[[#This Row],[Speed]])*WeaponStat[[#This Row],[Interval]]</f>
        <v>29.4</v>
      </c>
      <c r="G11" s="11">
        <f>(((WeaponStat[[#This Row],[Duration]]/50))/WeaponStat[[#This Row],[Interval]])</f>
        <v>1</v>
      </c>
      <c r="H11" s="11">
        <f>1/(((WeaponStat[[#This Row],[Duration]]/50))/WeaponStat[[#This Row],[Interval]])</f>
        <v>1</v>
      </c>
      <c r="I11" s="6" t="s">
        <v>55</v>
      </c>
      <c r="J11" s="6" t="s">
        <v>43</v>
      </c>
    </row>
    <row r="12" spans="1:19" ht="18.75" customHeight="1" x14ac:dyDescent="0.25">
      <c r="A12" s="8" t="s">
        <v>50</v>
      </c>
      <c r="B12" s="7">
        <v>7</v>
      </c>
      <c r="C12" s="7">
        <v>3</v>
      </c>
      <c r="D12" s="9">
        <v>0.8</v>
      </c>
      <c r="E12" s="7">
        <v>30</v>
      </c>
      <c r="F12" s="91">
        <f>(WeaponStat[[#This Row],[Force]]*WeaponStat[[#This Row],[Speed]])*WeaponStat[[#This Row],[Interval]]</f>
        <v>16.8</v>
      </c>
      <c r="G12" s="12">
        <f>(((WeaponStat[[#This Row],[Duration]]/50))/WeaponStat[[#This Row],[Interval]])</f>
        <v>0.74999999999999989</v>
      </c>
      <c r="H12" s="12">
        <f>1/(((WeaponStat[[#This Row],[Duration]]/50))/WeaponStat[[#This Row],[Interval]])</f>
        <v>1.3333333333333335</v>
      </c>
      <c r="I12" s="6" t="s">
        <v>3</v>
      </c>
      <c r="J12" s="6"/>
    </row>
    <row r="13" spans="1:19" ht="18.75" customHeight="1" x14ac:dyDescent="0.25">
      <c r="A13" s="4" t="s">
        <v>40</v>
      </c>
      <c r="B13" s="1">
        <v>8</v>
      </c>
      <c r="C13" s="1">
        <v>3</v>
      </c>
      <c r="D13" s="2">
        <v>1</v>
      </c>
      <c r="E13" s="1">
        <v>40</v>
      </c>
      <c r="F13" s="3">
        <f>(WeaponStat[[#This Row],[Force]]*WeaponStat[[#This Row],[Speed]])*WeaponStat[[#This Row],[Interval]]</f>
        <v>24</v>
      </c>
      <c r="G13" s="11">
        <f>(((WeaponStat[[#This Row],[Duration]]/50))/WeaponStat[[#This Row],[Interval]])</f>
        <v>0.8</v>
      </c>
      <c r="H13" s="11">
        <f>1/(((WeaponStat[[#This Row],[Duration]]/50))/WeaponStat[[#This Row],[Interval]])</f>
        <v>1.25</v>
      </c>
      <c r="I13" s="6" t="s">
        <v>55</v>
      </c>
      <c r="J13" s="6" t="s">
        <v>42</v>
      </c>
    </row>
    <row r="14" spans="1:19" ht="18.75" customHeight="1" x14ac:dyDescent="0.25">
      <c r="A14" s="4" t="s">
        <v>32</v>
      </c>
      <c r="B14" s="1">
        <v>8</v>
      </c>
      <c r="C14" s="1">
        <v>6</v>
      </c>
      <c r="D14" s="2">
        <v>0.8</v>
      </c>
      <c r="E14" s="1">
        <v>30</v>
      </c>
      <c r="F14" s="3">
        <f>(WeaponStat[[#This Row],[Force]]*WeaponStat[[#This Row],[Speed]])*WeaponStat[[#This Row],[Interval]]</f>
        <v>38.400000000000006</v>
      </c>
      <c r="G14" s="11">
        <f>(((WeaponStat[[#This Row],[Duration]]/50))/WeaponStat[[#This Row],[Interval]])</f>
        <v>0.74999999999999989</v>
      </c>
      <c r="H14" s="11">
        <f>1/(((WeaponStat[[#This Row],[Duration]]/50))/WeaponStat[[#This Row],[Interval]])</f>
        <v>1.3333333333333335</v>
      </c>
      <c r="I14" s="6" t="s">
        <v>55</v>
      </c>
      <c r="J14" s="6" t="s">
        <v>43</v>
      </c>
    </row>
    <row r="15" spans="1:19" ht="18.75" customHeight="1" x14ac:dyDescent="0.25">
      <c r="A15" s="4" t="s">
        <v>30</v>
      </c>
      <c r="B15" s="1">
        <v>9</v>
      </c>
      <c r="C15" s="1">
        <v>7</v>
      </c>
      <c r="D15" s="2">
        <v>0.6</v>
      </c>
      <c r="E15" s="1">
        <v>50</v>
      </c>
      <c r="F15" s="3">
        <f>(WeaponStat[[#This Row],[Force]]*WeaponStat[[#This Row],[Speed]])*WeaponStat[[#This Row],[Interval]]</f>
        <v>37.799999999999997</v>
      </c>
      <c r="G15" s="11">
        <f>(((WeaponStat[[#This Row],[Duration]]/50))/WeaponStat[[#This Row],[Interval]])</f>
        <v>1.6666666666666667</v>
      </c>
      <c r="H15" s="11">
        <f>1/(((WeaponStat[[#This Row],[Duration]]/50))/WeaponStat[[#This Row],[Interval]])</f>
        <v>0.6</v>
      </c>
      <c r="I15" s="6" t="s">
        <v>55</v>
      </c>
      <c r="J15" s="6" t="s">
        <v>44</v>
      </c>
    </row>
    <row r="16" spans="1:19" ht="18.75" customHeight="1" x14ac:dyDescent="0.25">
      <c r="A16" s="4" t="s">
        <v>17</v>
      </c>
      <c r="B16" s="1">
        <v>10</v>
      </c>
      <c r="C16" s="1">
        <v>5</v>
      </c>
      <c r="D16" s="2">
        <v>0.8</v>
      </c>
      <c r="E16" s="1">
        <v>30</v>
      </c>
      <c r="F16" s="3">
        <f>(WeaponStat[[#This Row],[Force]]*WeaponStat[[#This Row],[Speed]])*WeaponStat[[#This Row],[Interval]]</f>
        <v>40</v>
      </c>
      <c r="G16" s="11">
        <f>(((WeaponStat[[#This Row],[Duration]]/50))/WeaponStat[[#This Row],[Interval]])</f>
        <v>0.74999999999999989</v>
      </c>
      <c r="H16" s="11">
        <f>1/(((WeaponStat[[#This Row],[Duration]]/50))/WeaponStat[[#This Row],[Interval]])</f>
        <v>1.3333333333333335</v>
      </c>
      <c r="I16" s="6" t="s">
        <v>55</v>
      </c>
      <c r="J16" s="6" t="s">
        <v>43</v>
      </c>
    </row>
    <row r="17" spans="1:10" ht="18.75" customHeight="1" x14ac:dyDescent="0.25">
      <c r="A17" s="4" t="s">
        <v>21</v>
      </c>
      <c r="B17" s="1">
        <v>10</v>
      </c>
      <c r="C17" s="1">
        <v>3</v>
      </c>
      <c r="D17" s="2">
        <v>1</v>
      </c>
      <c r="E17" s="1">
        <v>20</v>
      </c>
      <c r="F17" s="3">
        <f>(WeaponStat[[#This Row],[Force]]*WeaponStat[[#This Row],[Speed]])*WeaponStat[[#This Row],[Interval]]</f>
        <v>30</v>
      </c>
      <c r="G17" s="11">
        <f>(((WeaponStat[[#This Row],[Duration]]/50))/WeaponStat[[#This Row],[Interval]])</f>
        <v>0.4</v>
      </c>
      <c r="H17" s="11">
        <f>1/(((WeaponStat[[#This Row],[Duration]]/50))/WeaponStat[[#This Row],[Interval]])</f>
        <v>2.5</v>
      </c>
      <c r="I17" s="6" t="s">
        <v>55</v>
      </c>
      <c r="J17" s="6" t="s">
        <v>44</v>
      </c>
    </row>
    <row r="18" spans="1:10" ht="18.75" customHeight="1" x14ac:dyDescent="0.25">
      <c r="A18" s="4" t="s">
        <v>38</v>
      </c>
      <c r="B18" s="1">
        <v>11</v>
      </c>
      <c r="C18" s="1">
        <v>4</v>
      </c>
      <c r="D18" s="2">
        <v>1.2</v>
      </c>
      <c r="E18" s="1">
        <v>50</v>
      </c>
      <c r="F18" s="3">
        <f>(WeaponStat[[#This Row],[Force]]*WeaponStat[[#This Row],[Speed]])*WeaponStat[[#This Row],[Interval]]</f>
        <v>52.8</v>
      </c>
      <c r="G18" s="11">
        <f>(((WeaponStat[[#This Row],[Duration]]/50))/WeaponStat[[#This Row],[Interval]])</f>
        <v>0.83333333333333337</v>
      </c>
      <c r="H18" s="11">
        <f>1/(((WeaponStat[[#This Row],[Duration]]/50))/WeaponStat[[#This Row],[Interval]])</f>
        <v>1.2</v>
      </c>
      <c r="I18" s="6" t="s">
        <v>55</v>
      </c>
      <c r="J18" s="6" t="s">
        <v>43</v>
      </c>
    </row>
    <row r="20" spans="1:10" ht="18.75" customHeight="1" x14ac:dyDescent="0.25">
      <c r="I20" s="6"/>
    </row>
    <row r="21" spans="1:10" ht="18.75" customHeight="1" x14ac:dyDescent="0.25">
      <c r="I21" s="6"/>
    </row>
    <row r="22" spans="1:10" ht="18.75" customHeight="1" x14ac:dyDescent="0.25">
      <c r="I22" s="6"/>
    </row>
    <row r="23" spans="1:10" ht="18.75" customHeight="1" x14ac:dyDescent="0.25">
      <c r="I23" s="6"/>
    </row>
  </sheetData>
  <conditionalFormatting sqref="L4:S8">
    <cfRule type="expression" dxfId="9" priority="14">
      <formula>IF($K24="Weapon",1,0)</formula>
    </cfRule>
  </conditionalFormatting>
  <conditionalFormatting sqref="A5:I8">
    <cfRule type="expression" dxfId="8" priority="16">
      <formula>IF(#REF!="Weapon",1,0)</formula>
    </cfRule>
  </conditionalFormatting>
  <conditionalFormatting sqref="A9:I18">
    <cfRule type="expression" dxfId="7" priority="41">
      <formula>IF($L8="Weapon",1,0)</formula>
    </cfRule>
  </conditionalFormatting>
  <conditionalFormatting sqref="F4:F18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{7DE2FF5D-93E1-4300-8F0E-C4F04A6A1FF7}</x14:id>
        </ext>
      </extLst>
    </cfRule>
  </conditionalFormatting>
  <conditionalFormatting sqref="B4:B18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{55136BF2-3967-498E-8243-23728C669B58}</x14:id>
        </ext>
      </extLst>
    </cfRule>
  </conditionalFormatting>
  <conditionalFormatting sqref="C4:C18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{ED3D8F94-E78C-4580-AAFE-B8DBA2503357}</x14:id>
        </ext>
      </extLst>
    </cfRule>
  </conditionalFormatting>
  <conditionalFormatting sqref="D4:D18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{93BFDD23-4A22-40D8-8787-E4D531E26F11}</x14:id>
        </ext>
      </extLst>
    </cfRule>
  </conditionalFormatting>
  <conditionalFormatting sqref="E4:E18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{EB72D40B-105A-4416-9FEB-9EE8D2D19313}</x14:id>
        </ext>
      </extLst>
    </cfRule>
  </conditionalFormatting>
  <conditionalFormatting sqref="G4:G18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{918E51DB-F13D-46BA-9968-FA1792A5A7FE}</x14:id>
        </ext>
      </extLst>
    </cfRule>
  </conditionalFormatting>
  <conditionalFormatting sqref="H4:H18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{9914C6B1-DD36-47FD-B072-0A7DA5EA0B80}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E2FF5D-93E1-4300-8F0E-C4F04A6A1FF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F4:F18</xm:sqref>
        </x14:conditionalFormatting>
        <x14:conditionalFormatting xmlns:xm="http://schemas.microsoft.com/office/excel/2006/main">
          <x14:cfRule type="dataBar" id="{55136BF2-3967-498E-8243-23728C669B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B4:B18</xm:sqref>
        </x14:conditionalFormatting>
        <x14:conditionalFormatting xmlns:xm="http://schemas.microsoft.com/office/excel/2006/main">
          <x14:cfRule type="dataBar" id="{ED3D8F94-E78C-4580-AAFE-B8DBA250335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C4:C18</xm:sqref>
        </x14:conditionalFormatting>
        <x14:conditionalFormatting xmlns:xm="http://schemas.microsoft.com/office/excel/2006/main">
          <x14:cfRule type="dataBar" id="{93BFDD23-4A22-40D8-8787-E4D531E26F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D4:D18</xm:sqref>
        </x14:conditionalFormatting>
        <x14:conditionalFormatting xmlns:xm="http://schemas.microsoft.com/office/excel/2006/main">
          <x14:cfRule type="dataBar" id="{EB72D40B-105A-4416-9FEB-9EE8D2D193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E4:E18</xm:sqref>
        </x14:conditionalFormatting>
        <x14:conditionalFormatting xmlns:xm="http://schemas.microsoft.com/office/excel/2006/main">
          <x14:cfRule type="dataBar" id="{918E51DB-F13D-46BA-9968-FA1792A5A7F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G4:G18</xm:sqref>
        </x14:conditionalFormatting>
        <x14:conditionalFormatting xmlns:xm="http://schemas.microsoft.com/office/excel/2006/main">
          <x14:cfRule type="dataBar" id="{9914C6B1-DD36-47FD-B072-0A7DA5EA0B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H4:H18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Heros &amp; Monsters</vt:lpstr>
      <vt:lpstr>Weapons &amp; Elemental list</vt:lpstr>
      <vt:lpstr>Elemental</vt:lpstr>
      <vt:lpstr>weapon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</dc:creator>
  <cp:lastModifiedBy>Paweł</cp:lastModifiedBy>
  <cp:lastPrinted>2020-05-19T06:26:32Z</cp:lastPrinted>
  <dcterms:created xsi:type="dcterms:W3CDTF">2020-05-18T14:55:56Z</dcterms:created>
  <dcterms:modified xsi:type="dcterms:W3CDTF">2020-05-19T08:08:32Z</dcterms:modified>
</cp:coreProperties>
</file>