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s\"/>
    </mc:Choice>
  </mc:AlternateContent>
  <xr:revisionPtr revIDLastSave="0" documentId="13_ncr:1_{40FF66B0-EA6E-41BF-A96C-9E0BC48DF94D}" xr6:coauthVersionLast="45" xr6:coauthVersionMax="45" xr10:uidLastSave="{00000000-0000-0000-0000-000000000000}"/>
  <bookViews>
    <workbookView xWindow="-25320" yWindow="-4440" windowWidth="25440" windowHeight="15990" xr2:uid="{33D7F840-1A5B-4094-8968-0831214C879A}"/>
  </bookViews>
  <sheets>
    <sheet name="Heros &amp; Monsters" sheetId="1" r:id="rId1"/>
    <sheet name="Weapons &amp; Elemental list" sheetId="2" r:id="rId2"/>
  </sheets>
  <definedNames>
    <definedName name="Elemental">ElementList[Elemental]</definedName>
    <definedName name="weapon">WeaponStat[Weapon]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T6" i="1" l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Q4" i="2"/>
  <c r="Q5" i="2"/>
  <c r="Q6" i="2"/>
  <c r="Q7" i="2"/>
  <c r="Q8" i="2"/>
  <c r="G4" i="2"/>
  <c r="F4" i="2"/>
  <c r="F6" i="2"/>
  <c r="F10" i="2"/>
  <c r="F9" i="2"/>
  <c r="F5" i="2"/>
  <c r="F17" i="2"/>
  <c r="F13" i="2"/>
  <c r="F14" i="2"/>
  <c r="F12" i="2"/>
  <c r="F8" i="2"/>
  <c r="F15" i="2"/>
  <c r="F16" i="2"/>
  <c r="F7" i="2"/>
  <c r="F18" i="2"/>
  <c r="F11" i="2"/>
  <c r="H4" i="2" l="1"/>
  <c r="K9" i="1"/>
  <c r="K10" i="1"/>
  <c r="K11" i="1"/>
  <c r="K20" i="1"/>
  <c r="K7" i="1"/>
  <c r="K12" i="1"/>
  <c r="K16" i="1"/>
  <c r="K19" i="1"/>
  <c r="K21" i="1"/>
  <c r="K17" i="1"/>
  <c r="K14" i="1"/>
  <c r="K6" i="1"/>
  <c r="K15" i="1"/>
  <c r="K18" i="1"/>
  <c r="K13" i="1"/>
  <c r="K8" i="1"/>
  <c r="J9" i="1"/>
  <c r="J10" i="1"/>
  <c r="J11" i="1"/>
  <c r="J20" i="1"/>
  <c r="J7" i="1"/>
  <c r="J12" i="1"/>
  <c r="J16" i="1"/>
  <c r="J19" i="1"/>
  <c r="J21" i="1"/>
  <c r="J17" i="1"/>
  <c r="J14" i="1"/>
  <c r="J6" i="1"/>
  <c r="J15" i="1"/>
  <c r="J18" i="1"/>
  <c r="J13" i="1"/>
  <c r="J8" i="1"/>
  <c r="I9" i="1"/>
  <c r="I10" i="1"/>
  <c r="I11" i="1"/>
  <c r="I20" i="1"/>
  <c r="I7" i="1"/>
  <c r="I12" i="1"/>
  <c r="I16" i="1"/>
  <c r="I19" i="1"/>
  <c r="I21" i="1"/>
  <c r="I17" i="1"/>
  <c r="I14" i="1"/>
  <c r="I6" i="1"/>
  <c r="I15" i="1"/>
  <c r="I18" i="1"/>
  <c r="I13" i="1"/>
  <c r="I8" i="1"/>
  <c r="H9" i="1"/>
  <c r="H10" i="1"/>
  <c r="R10" i="1" s="1"/>
  <c r="H11" i="1"/>
  <c r="H20" i="1"/>
  <c r="H7" i="1"/>
  <c r="H12" i="1"/>
  <c r="H16" i="1"/>
  <c r="H19" i="1"/>
  <c r="H21" i="1"/>
  <c r="H17" i="1"/>
  <c r="H14" i="1"/>
  <c r="H6" i="1"/>
  <c r="H15" i="1"/>
  <c r="H18" i="1"/>
  <c r="H13" i="1"/>
  <c r="H8" i="1"/>
  <c r="R8" i="1" s="1"/>
  <c r="R8" i="2"/>
  <c r="S8" i="2"/>
  <c r="R4" i="2"/>
  <c r="R5" i="2"/>
  <c r="R6" i="2"/>
  <c r="R7" i="2"/>
  <c r="S4" i="2"/>
  <c r="S5" i="2"/>
  <c r="S6" i="2"/>
  <c r="S7" i="2"/>
  <c r="H11" i="2"/>
  <c r="G11" i="2"/>
  <c r="H18" i="2"/>
  <c r="G18" i="2"/>
  <c r="H7" i="2"/>
  <c r="G7" i="2"/>
  <c r="H16" i="2"/>
  <c r="G16" i="2"/>
  <c r="H15" i="2"/>
  <c r="G15" i="2"/>
  <c r="H8" i="2"/>
  <c r="G8" i="2"/>
  <c r="H12" i="2"/>
  <c r="G12" i="2"/>
  <c r="H14" i="2"/>
  <c r="G14" i="2"/>
  <c r="H13" i="2"/>
  <c r="G13" i="2"/>
  <c r="H17" i="2"/>
  <c r="G17" i="2"/>
  <c r="H5" i="2"/>
  <c r="G5" i="2"/>
  <c r="H9" i="2"/>
  <c r="G9" i="2"/>
  <c r="H10" i="2"/>
  <c r="G10" i="2"/>
  <c r="H6" i="2"/>
  <c r="G6" i="2"/>
  <c r="R11" i="1" l="1"/>
  <c r="R9" i="1"/>
  <c r="R18" i="1"/>
  <c r="R6" i="1"/>
  <c r="R17" i="1"/>
  <c r="R19" i="1"/>
  <c r="R12" i="1"/>
  <c r="R20" i="1"/>
  <c r="R13" i="1"/>
  <c r="R15" i="1"/>
  <c r="R14" i="1"/>
  <c r="R21" i="1"/>
  <c r="R16" i="1"/>
  <c r="R7" i="1"/>
  <c r="S17" i="1"/>
  <c r="S19" i="1"/>
  <c r="S12" i="1"/>
  <c r="S20" i="1"/>
  <c r="S10" i="1"/>
  <c r="S18" i="1"/>
  <c r="S6" i="1"/>
  <c r="U7" i="1" l="1"/>
  <c r="U14" i="1"/>
  <c r="S8" i="1"/>
  <c r="U20" i="1"/>
  <c r="V20" i="1" s="1"/>
  <c r="U12" i="1"/>
  <c r="V12" i="1" s="1"/>
  <c r="U10" i="1"/>
  <c r="V10" i="1" s="1"/>
  <c r="U11" i="1"/>
  <c r="U21" i="1"/>
  <c r="U17" i="1"/>
  <c r="V17" i="1" s="1"/>
  <c r="U8" i="1"/>
  <c r="U16" i="1"/>
  <c r="U15" i="1"/>
  <c r="U13" i="1"/>
  <c r="U19" i="1"/>
  <c r="V19" i="1" s="1"/>
  <c r="U6" i="1"/>
  <c r="V6" i="1" s="1"/>
  <c r="U18" i="1"/>
  <c r="V18" i="1" s="1"/>
  <c r="U9" i="1"/>
  <c r="S9" i="1"/>
  <c r="S16" i="1"/>
  <c r="S15" i="1"/>
  <c r="S14" i="1"/>
  <c r="S7" i="1"/>
  <c r="S21" i="1"/>
  <c r="S13" i="1"/>
  <c r="S11" i="1"/>
  <c r="V7" i="1" l="1"/>
  <c r="V8" i="1"/>
  <c r="V14" i="1"/>
  <c r="V21" i="1"/>
  <c r="V15" i="1"/>
  <c r="V9" i="1"/>
  <c r="V13" i="1"/>
  <c r="V16" i="1"/>
  <c r="V11" i="1"/>
</calcChain>
</file>

<file path=xl/sharedStrings.xml><?xml version="1.0" encoding="utf-8"?>
<sst xmlns="http://schemas.openxmlformats.org/spreadsheetml/2006/main" count="186" uniqueCount="90">
  <si>
    <t>Lifespan</t>
  </si>
  <si>
    <t>AI</t>
  </si>
  <si>
    <t>Weapon</t>
  </si>
  <si>
    <t>Type</t>
  </si>
  <si>
    <t>Force</t>
  </si>
  <si>
    <t>Speed</t>
  </si>
  <si>
    <t>Interval</t>
  </si>
  <si>
    <t>Duration</t>
  </si>
  <si>
    <t>Range</t>
  </si>
  <si>
    <t>Attacking Range</t>
  </si>
  <si>
    <t>Fleeing Range</t>
  </si>
  <si>
    <t>Dodging Thickness</t>
  </si>
  <si>
    <t>Unicorn</t>
  </si>
  <si>
    <t>Energy Bolt</t>
  </si>
  <si>
    <t>Ground</t>
  </si>
  <si>
    <t>Wizard</t>
  </si>
  <si>
    <t>Fireball</t>
  </si>
  <si>
    <t>Archer</t>
  </si>
  <si>
    <t>Arrow</t>
  </si>
  <si>
    <t>Golem</t>
  </si>
  <si>
    <t>Boulder</t>
  </si>
  <si>
    <t>Valkyrie</t>
  </si>
  <si>
    <t>Fly</t>
  </si>
  <si>
    <t>Djinni</t>
  </si>
  <si>
    <t>Whirlwind</t>
  </si>
  <si>
    <t>Fiery Explosion</t>
  </si>
  <si>
    <t>Knight</t>
  </si>
  <si>
    <t>Sword</t>
  </si>
  <si>
    <t>Basilisk</t>
  </si>
  <si>
    <t>Eye Beam</t>
  </si>
  <si>
    <t>Sorceress</t>
  </si>
  <si>
    <t>Lightning Bolt</t>
  </si>
  <si>
    <t>Manticore</t>
  </si>
  <si>
    <t>Tail Spikes</t>
  </si>
  <si>
    <t>Troll</t>
  </si>
  <si>
    <t>Shapeshifter</t>
  </si>
  <si>
    <t>Dragon</t>
  </si>
  <si>
    <t>Fiery Breath</t>
  </si>
  <si>
    <t>Banshee</t>
  </si>
  <si>
    <t>Scream</t>
  </si>
  <si>
    <t>Goblin</t>
  </si>
  <si>
    <t>Air</t>
  </si>
  <si>
    <t>Fire</t>
  </si>
  <si>
    <t>Earth</t>
  </si>
  <si>
    <t>Water</t>
  </si>
  <si>
    <t>Name</t>
  </si>
  <si>
    <t>Speed3</t>
  </si>
  <si>
    <t>ATACK</t>
  </si>
  <si>
    <t>Archon Adventures Stats</t>
  </si>
  <si>
    <t>Spear</t>
  </si>
  <si>
    <t>Phoenix</t>
  </si>
  <si>
    <t>Zdrowie</t>
  </si>
  <si>
    <t>Zręczność</t>
  </si>
  <si>
    <t>Obrażenia</t>
  </si>
  <si>
    <t>Spell</t>
  </si>
  <si>
    <t>Weapons &amp; Elemental list</t>
  </si>
  <si>
    <t>Site</t>
  </si>
  <si>
    <t>Light</t>
  </si>
  <si>
    <t>Dark</t>
  </si>
  <si>
    <t>Extra Elemental</t>
  </si>
  <si>
    <t>None</t>
  </si>
  <si>
    <t>Trwanie</t>
  </si>
  <si>
    <t>Przerwa</t>
  </si>
  <si>
    <t>Prędkość</t>
  </si>
  <si>
    <t>Siła</t>
  </si>
  <si>
    <t>Żywioł</t>
  </si>
  <si>
    <t>Zasięg</t>
  </si>
  <si>
    <t>Rodzaj</t>
  </si>
  <si>
    <t>Broń</t>
  </si>
  <si>
    <t>Życie</t>
  </si>
  <si>
    <t>Defense</t>
  </si>
  <si>
    <t>Obrona</t>
  </si>
  <si>
    <t>Damage</t>
  </si>
  <si>
    <t>Szansa na odparcie ciosu</t>
  </si>
  <si>
    <t>Hero</t>
  </si>
  <si>
    <t>Hand</t>
  </si>
  <si>
    <t>Maximum damage chance</t>
  </si>
  <si>
    <t>Fight back chance</t>
  </si>
  <si>
    <t>Szansa na maksymalne obrażenia</t>
  </si>
  <si>
    <t>Elemental</t>
  </si>
  <si>
    <t>Q1</t>
  </si>
  <si>
    <t>Q2</t>
  </si>
  <si>
    <t>Dexterity</t>
  </si>
  <si>
    <t>Health</t>
  </si>
  <si>
    <t>Rank</t>
  </si>
  <si>
    <t>Ranga</t>
  </si>
  <si>
    <t>Axe</t>
  </si>
  <si>
    <t>Dexterity(Q)</t>
  </si>
  <si>
    <t>Damage(Q)</t>
  </si>
  <si>
    <t>FIGURE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</si>
</sst>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color rgb="FFC2FFB3"/>
      <name val="Tahoma"/>
      <family val="2"/>
      <charset val="238"/>
    </font>
    <font>
      <b/>
      <sz val="12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i/>
      <sz val="8"/>
      <color rgb="FFC2FFB3"/>
      <name val="Tahoma"/>
      <family val="2"/>
      <charset val="238"/>
    </font>
    <font>
      <b/>
      <sz val="12"/>
      <color theme="0"/>
      <name val="Calibri"/>
      <family val="2"/>
      <charset val="238"/>
      <scheme val="minor"/>
    </font>
    <font>
      <sz val="12"/>
      <color theme="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4C9947"/>
        <bgColor indexed="64"/>
      </patternFill>
    </fill>
    <fill>
      <patternFill patternType="solid">
        <fgColor theme="9"/>
        <bgColor theme="9"/>
      </patternFill>
    </fill>
    <fill>
      <patternFill patternType="solid">
        <fgColor theme="1"/>
        <bgColor indexed="64"/>
      </patternFill>
    </fill>
    <fill>
      <patternFill patternType="solid">
        <fgColor theme="9" tint="-0.249977111117893"/>
        <bgColor indexed="64"/>
      </patternFill>
    </fill>
  </fills>
  <borders count="33">
    <border>
      <left/>
      <right/>
      <top/>
      <bottom/>
      <diagonal/>
    </border>
    <border>
      <left style="thin">
        <color theme="9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ck">
        <color theme="0"/>
      </right>
      <top style="thin">
        <color theme="0"/>
      </top>
      <bottom style="thin">
        <color theme="0"/>
      </bottom>
      <diagonal/>
    </border>
    <border>
      <left style="thick">
        <color theme="0"/>
      </left>
      <right style="thin">
        <color theme="0"/>
      </right>
      <top style="thin">
        <color theme="0"/>
      </top>
      <bottom style="thick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ck">
        <color theme="0"/>
      </bottom>
      <diagonal/>
    </border>
    <border>
      <left style="thin">
        <color theme="0"/>
      </left>
      <right style="thick">
        <color theme="0"/>
      </right>
      <top style="thin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/>
      <bottom style="thin">
        <color theme="0"/>
      </bottom>
      <diagonal/>
    </border>
    <border>
      <left style="thick">
        <color theme="0"/>
      </left>
      <right style="thick">
        <color theme="0"/>
      </right>
      <top style="thin">
        <color theme="0"/>
      </top>
      <bottom style="thin">
        <color theme="0"/>
      </bottom>
      <diagonal/>
    </border>
    <border>
      <left style="thick">
        <color theme="0"/>
      </left>
      <right style="thick">
        <color theme="0"/>
      </right>
      <top style="thin">
        <color theme="0"/>
      </top>
      <bottom style="thick">
        <color theme="0"/>
      </bottom>
      <diagonal/>
    </border>
    <border>
      <left/>
      <right style="thin">
        <color theme="0"/>
      </right>
      <top style="thick">
        <color theme="0"/>
      </top>
      <bottom style="thick">
        <color theme="0"/>
      </bottom>
      <diagonal/>
    </border>
    <border>
      <left style="thin">
        <color theme="0"/>
      </left>
      <right style="thin">
        <color theme="0"/>
      </right>
      <top style="thick">
        <color theme="0"/>
      </top>
      <bottom style="thick">
        <color theme="0"/>
      </bottom>
      <diagonal/>
    </border>
    <border>
      <left style="thin">
        <color theme="0"/>
      </left>
      <right/>
      <top style="thick">
        <color theme="0"/>
      </top>
      <bottom style="thick">
        <color theme="0"/>
      </bottom>
      <diagonal/>
    </border>
    <border>
      <left style="thin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ck">
        <color theme="0"/>
      </left>
      <right style="thin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ck">
        <color theme="0"/>
      </right>
      <top/>
      <bottom style="thin">
        <color theme="0"/>
      </bottom>
      <diagonal/>
    </border>
    <border>
      <left/>
      <right/>
      <top style="thick">
        <color theme="0"/>
      </top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8">
    <xf numFmtId="0" fontId="0" fillId="0" borderId="0" xfId="0"/>
    <xf numFmtId="0" fontId="0" fillId="0" borderId="0" xfId="0" applyFont="1" applyFill="1" applyBorder="1" applyAlignment="1">
      <alignment horizontal="center" vertical="center"/>
    </xf>
    <xf numFmtId="9" fontId="0" fillId="0" borderId="0" xfId="0" applyNumberFormat="1" applyFont="1" applyFill="1" applyBorder="1" applyAlignment="1">
      <alignment horizontal="center" vertical="center"/>
    </xf>
    <xf numFmtId="1" fontId="0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left" vertical="center" indent="2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 indent="2"/>
    </xf>
    <xf numFmtId="9" fontId="3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2" fontId="0" fillId="0" borderId="0" xfId="0" applyNumberFormat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7" fillId="4" borderId="0" xfId="0" applyFont="1" applyFill="1"/>
    <xf numFmtId="0" fontId="8" fillId="4" borderId="0" xfId="0" applyFont="1" applyFill="1" applyAlignment="1">
      <alignment horizontal="left" vertical="center" inden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left" vertical="center" indent="2"/>
    </xf>
    <xf numFmtId="9" fontId="0" fillId="0" borderId="0" xfId="0" applyNumberFormat="1" applyFont="1" applyFill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0" fontId="0" fillId="0" borderId="2" xfId="0" applyBorder="1"/>
    <xf numFmtId="0" fontId="5" fillId="0" borderId="2" xfId="0" applyFont="1" applyFill="1" applyBorder="1" applyAlignment="1">
      <alignment horizontal="center" vertical="center"/>
    </xf>
    <xf numFmtId="1" fontId="5" fillId="0" borderId="2" xfId="0" applyNumberFormat="1" applyFont="1" applyFill="1" applyBorder="1" applyAlignment="1">
      <alignment horizontal="center" vertical="center"/>
    </xf>
    <xf numFmtId="9" fontId="5" fillId="0" borderId="2" xfId="1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1" fontId="0" fillId="0" borderId="2" xfId="0" applyNumberFormat="1" applyFont="1" applyFill="1" applyBorder="1" applyAlignment="1">
      <alignment horizontal="center" vertical="center"/>
    </xf>
    <xf numFmtId="9" fontId="0" fillId="0" borderId="2" xfId="1" applyFont="1" applyFill="1" applyBorder="1" applyAlignment="1">
      <alignment horizontal="center" vertical="center"/>
    </xf>
    <xf numFmtId="0" fontId="0" fillId="0" borderId="3" xfId="0" applyBorder="1"/>
    <xf numFmtId="0" fontId="0" fillId="0" borderId="4" xfId="0" applyFont="1" applyFill="1" applyBorder="1" applyAlignment="1">
      <alignment vertical="center"/>
    </xf>
    <xf numFmtId="0" fontId="0" fillId="0" borderId="5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1" fontId="0" fillId="0" borderId="3" xfId="0" applyNumberFormat="1" applyFont="1" applyFill="1" applyBorder="1" applyAlignment="1">
      <alignment horizontal="center" vertical="center"/>
    </xf>
    <xf numFmtId="9" fontId="0" fillId="0" borderId="3" xfId="1" applyFont="1" applyFill="1" applyBorder="1" applyAlignment="1">
      <alignment horizontal="center" vertical="center"/>
    </xf>
    <xf numFmtId="0" fontId="0" fillId="0" borderId="10" xfId="0" applyBorder="1"/>
    <xf numFmtId="0" fontId="0" fillId="0" borderId="6" xfId="0" applyFont="1" applyFill="1" applyBorder="1" applyAlignment="1">
      <alignment vertical="center"/>
    </xf>
    <xf numFmtId="0" fontId="5" fillId="0" borderId="8" xfId="0" applyFont="1" applyFill="1" applyBorder="1" applyAlignment="1">
      <alignment horizontal="justify" vertical="center"/>
    </xf>
    <xf numFmtId="0" fontId="0" fillId="0" borderId="8" xfId="0" applyFont="1" applyFill="1" applyBorder="1" applyAlignment="1">
      <alignment horizontal="justify" vertical="center"/>
    </xf>
    <xf numFmtId="0" fontId="0" fillId="0" borderId="10" xfId="0" applyFont="1" applyFill="1" applyBorder="1" applyAlignment="1">
      <alignment horizontal="justify" vertical="center"/>
    </xf>
    <xf numFmtId="0" fontId="0" fillId="0" borderId="4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1" fontId="5" fillId="0" borderId="8" xfId="0" applyNumberFormat="1" applyFont="1" applyFill="1" applyBorder="1" applyAlignment="1">
      <alignment horizontal="center" vertical="center"/>
    </xf>
    <xf numFmtId="1" fontId="0" fillId="0" borderId="8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justify" vertical="center"/>
    </xf>
    <xf numFmtId="0" fontId="0" fillId="0" borderId="7" xfId="0" applyFont="1" applyFill="1" applyBorder="1" applyAlignment="1">
      <alignment horizontal="justify" vertical="center"/>
    </xf>
    <xf numFmtId="0" fontId="0" fillId="0" borderId="9" xfId="0" applyFont="1" applyFill="1" applyBorder="1" applyAlignment="1">
      <alignment horizontal="justify" vertical="center"/>
    </xf>
    <xf numFmtId="0" fontId="4" fillId="2" borderId="26" xfId="0" applyFont="1" applyFill="1" applyBorder="1" applyAlignment="1">
      <alignment horizontal="center" vertical="center"/>
    </xf>
    <xf numFmtId="0" fontId="0" fillId="0" borderId="29" xfId="0" applyFont="1" applyFill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1" fontId="5" fillId="0" borderId="14" xfId="0" applyNumberFormat="1" applyFont="1" applyFill="1" applyBorder="1" applyAlignment="1">
      <alignment horizontal="center" vertical="center"/>
    </xf>
    <xf numFmtId="9" fontId="0" fillId="0" borderId="15" xfId="1" applyFont="1" applyBorder="1" applyAlignment="1">
      <alignment horizontal="center" vertical="center"/>
    </xf>
    <xf numFmtId="1" fontId="0" fillId="0" borderId="14" xfId="0" applyNumberFormat="1" applyFont="1" applyFill="1" applyBorder="1" applyAlignment="1">
      <alignment horizontal="center" vertical="center"/>
    </xf>
    <xf numFmtId="1" fontId="0" fillId="0" borderId="16" xfId="0" applyNumberFormat="1" applyFont="1" applyFill="1" applyBorder="1" applyAlignment="1">
      <alignment horizontal="center" vertical="center"/>
    </xf>
    <xf numFmtId="1" fontId="0" fillId="0" borderId="17" xfId="0" applyNumberFormat="1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1" fontId="3" fillId="0" borderId="27" xfId="0" applyNumberFormat="1" applyFont="1" applyBorder="1" applyAlignment="1">
      <alignment horizontal="center" vertical="center"/>
    </xf>
    <xf numFmtId="1" fontId="3" fillId="0" borderId="11" xfId="0" applyNumberFormat="1" applyFont="1" applyBorder="1" applyAlignment="1">
      <alignment horizontal="center" vertical="center"/>
    </xf>
    <xf numFmtId="0" fontId="0" fillId="0" borderId="8" xfId="0" applyBorder="1"/>
    <xf numFmtId="0" fontId="4" fillId="2" borderId="23" xfId="0" applyFont="1" applyFill="1" applyBorder="1" applyAlignment="1">
      <alignment horizontal="center" vertical="center"/>
    </xf>
    <xf numFmtId="0" fontId="4" fillId="2" borderId="25" xfId="0" applyFont="1" applyFill="1" applyBorder="1" applyAlignment="1">
      <alignment horizontal="center" vertical="center"/>
    </xf>
    <xf numFmtId="0" fontId="12" fillId="2" borderId="13" xfId="0" applyFont="1" applyFill="1" applyBorder="1" applyAlignment="1">
      <alignment horizontal="center" vertical="center"/>
    </xf>
    <xf numFmtId="0" fontId="12" fillId="2" borderId="22" xfId="0" applyFont="1" applyFill="1" applyBorder="1" applyAlignment="1">
      <alignment horizontal="center" vertical="center"/>
    </xf>
    <xf numFmtId="0" fontId="12" fillId="2" borderId="23" xfId="0" applyFont="1" applyFill="1" applyBorder="1" applyAlignment="1">
      <alignment horizontal="center" vertical="center"/>
    </xf>
    <xf numFmtId="0" fontId="12" fillId="2" borderId="24" xfId="0" applyFont="1" applyFill="1" applyBorder="1" applyAlignment="1">
      <alignment horizontal="center" vertical="center"/>
    </xf>
    <xf numFmtId="0" fontId="12" fillId="2" borderId="28" xfId="0" applyFont="1" applyFill="1" applyBorder="1" applyAlignment="1">
      <alignment horizontal="center" vertical="center"/>
    </xf>
    <xf numFmtId="0" fontId="12" fillId="2" borderId="23" xfId="0" applyFont="1" applyFill="1" applyBorder="1" applyAlignment="1">
      <alignment horizontal="center" vertical="center" wrapText="1"/>
    </xf>
    <xf numFmtId="0" fontId="12" fillId="2" borderId="25" xfId="0" applyFont="1" applyFill="1" applyBorder="1" applyAlignment="1">
      <alignment horizontal="center" vertical="center" wrapText="1"/>
    </xf>
    <xf numFmtId="9" fontId="5" fillId="0" borderId="8" xfId="0" applyNumberFormat="1" applyFont="1" applyFill="1" applyBorder="1" applyAlignment="1">
      <alignment horizontal="center" vertical="center"/>
    </xf>
    <xf numFmtId="9" fontId="0" fillId="0" borderId="8" xfId="0" applyNumberFormat="1" applyFont="1" applyFill="1" applyBorder="1" applyAlignment="1">
      <alignment horizontal="center" vertical="center"/>
    </xf>
    <xf numFmtId="9" fontId="0" fillId="0" borderId="10" xfId="0" applyNumberFormat="1" applyFont="1" applyFill="1" applyBorder="1" applyAlignment="1">
      <alignment horizontal="center" vertical="center"/>
    </xf>
    <xf numFmtId="0" fontId="12" fillId="2" borderId="25" xfId="0" applyFont="1" applyFill="1" applyBorder="1" applyAlignment="1">
      <alignment horizontal="center" vertical="center"/>
    </xf>
    <xf numFmtId="0" fontId="0" fillId="0" borderId="30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/>
    </xf>
    <xf numFmtId="0" fontId="0" fillId="0" borderId="17" xfId="0" applyFont="1" applyFill="1" applyBorder="1" applyAlignment="1">
      <alignment horizontal="center" vertical="center"/>
    </xf>
    <xf numFmtId="0" fontId="0" fillId="0" borderId="18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11" fillId="4" borderId="0" xfId="0" applyFont="1" applyFill="1"/>
    <xf numFmtId="9" fontId="0" fillId="0" borderId="17" xfId="1" applyFont="1" applyFill="1" applyBorder="1" applyAlignment="1">
      <alignment horizontal="center" vertical="center"/>
    </xf>
    <xf numFmtId="1" fontId="9" fillId="0" borderId="8" xfId="0" applyNumberFormat="1" applyFont="1" applyFill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" fontId="3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 vertical="center" indent="2"/>
    </xf>
    <xf numFmtId="1" fontId="9" fillId="0" borderId="10" xfId="0" applyNumberFormat="1" applyFont="1" applyFill="1" applyBorder="1" applyAlignment="1">
      <alignment horizontal="center" vertical="center"/>
    </xf>
    <xf numFmtId="0" fontId="11" fillId="5" borderId="4" xfId="0" applyFont="1" applyFill="1" applyBorder="1" applyAlignment="1">
      <alignment horizontal="center" vertical="center" wrapText="1"/>
    </xf>
    <xf numFmtId="0" fontId="11" fillId="5" borderId="7" xfId="0" applyFont="1" applyFill="1" applyBorder="1" applyAlignment="1">
      <alignment horizontal="left" vertical="center"/>
    </xf>
    <xf numFmtId="0" fontId="13" fillId="5" borderId="7" xfId="0" applyFont="1" applyFill="1" applyBorder="1" applyAlignment="1">
      <alignment horizontal="left" vertical="center"/>
    </xf>
    <xf numFmtId="0" fontId="11" fillId="5" borderId="9" xfId="0" applyFont="1" applyFill="1" applyBorder="1" applyAlignment="1">
      <alignment horizontal="left" vertical="center"/>
    </xf>
    <xf numFmtId="0" fontId="11" fillId="5" borderId="19" xfId="0" applyFont="1" applyFill="1" applyBorder="1" applyAlignment="1">
      <alignment horizontal="center" vertical="center" wrapText="1"/>
    </xf>
    <xf numFmtId="0" fontId="13" fillId="5" borderId="20" xfId="0" applyFont="1" applyFill="1" applyBorder="1" applyAlignment="1">
      <alignment horizontal="center" vertical="center"/>
    </xf>
    <xf numFmtId="0" fontId="11" fillId="5" borderId="20" xfId="0" applyFont="1" applyFill="1" applyBorder="1" applyAlignment="1">
      <alignment horizontal="center" vertical="center"/>
    </xf>
    <xf numFmtId="0" fontId="11" fillId="5" borderId="21" xfId="0" applyFont="1" applyFill="1" applyBorder="1" applyAlignment="1">
      <alignment horizontal="center" vertical="center"/>
    </xf>
    <xf numFmtId="0" fontId="14" fillId="5" borderId="20" xfId="0" applyFont="1" applyFill="1" applyBorder="1" applyAlignment="1">
      <alignment horizontal="center" vertical="center"/>
    </xf>
    <xf numFmtId="0" fontId="14" fillId="5" borderId="21" xfId="0" applyFont="1" applyFill="1" applyBorder="1" applyAlignment="1">
      <alignment horizontal="center" vertical="center"/>
    </xf>
    <xf numFmtId="9" fontId="0" fillId="0" borderId="18" xfId="1" applyFont="1" applyBorder="1" applyAlignment="1">
      <alignment horizontal="center" vertical="center"/>
    </xf>
    <xf numFmtId="9" fontId="0" fillId="0" borderId="0" xfId="1" applyFont="1" applyAlignment="1">
      <alignment horizontal="center" vertical="center"/>
    </xf>
    <xf numFmtId="9" fontId="3" fillId="0" borderId="0" xfId="1" applyFont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</cellXfs>
  <cellStyles count="2">
    <cellStyle name="Normalny" xfId="0" builtinId="0"/>
    <cellStyle name="Procentowy" xfId="1" builtinId="5"/>
  </cellStyles>
  <dxfs count="51">
    <dxf>
      <font>
        <b/>
        <i val="0"/>
      </font>
    </dxf>
    <dxf>
      <font>
        <b/>
        <i val="0"/>
      </font>
    </dxf>
    <dxf>
      <font>
        <b/>
        <i val="0"/>
      </font>
    </dxf>
    <dxf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charset val="238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charset val="238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charset val="238"/>
        <scheme val="minor"/>
      </font>
      <fill>
        <patternFill patternType="none">
          <fgColor indexed="64"/>
          <bgColor indexed="65"/>
        </patternFill>
      </fill>
      <alignment horizontal="justify" vertical="center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ck">
          <color theme="0"/>
        </left>
        <right/>
        <top style="thin">
          <color theme="0"/>
        </top>
        <bottom style="thin">
          <color theme="0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</border>
    </dxf>
    <dxf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charset val="238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 style="thin">
          <color theme="0"/>
        </top>
        <bottom style="thin">
          <color theme="0"/>
        </bottom>
      </border>
    </dxf>
    <dxf>
      <numFmt numFmtId="1" formatCode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color theme="0"/>
        <name val="Calibri"/>
        <family val="2"/>
        <charset val="238"/>
        <scheme val="minor"/>
      </font>
      <fill>
        <patternFill patternType="solid">
          <fgColor indexed="64"/>
          <bgColor theme="9" tint="-0.249977111117893"/>
        </patternFill>
      </fill>
      <border diagonalUp="0" diagonalDown="0" outline="0">
        <left style="thick">
          <color theme="0"/>
        </left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color theme="0"/>
        <name val="Calibri"/>
        <family val="2"/>
        <charset val="238"/>
        <scheme val="minor"/>
      </font>
      <fill>
        <patternFill patternType="solid">
          <fgColor indexed="64"/>
          <bgColor theme="9" tint="-0.249977111117893"/>
        </patternFill>
      </fill>
      <alignment horizontal="left" vertical="center" textRotation="0" wrapText="0" relativeIndent="-1" justifyLastLine="0" shrinkToFit="0" readingOrder="0"/>
      <border diagonalUp="0" diagonalDown="0" outline="0">
        <left style="thick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 diagonalUp="0" diagonalDown="0" outline="0">
        <left style="thin">
          <color theme="0"/>
        </left>
        <right style="thick">
          <color theme="0"/>
        </right>
        <top style="thin">
          <color theme="0"/>
        </top>
        <bottom style="thin">
          <color theme="0"/>
        </bottom>
      </border>
    </dxf>
    <dxf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38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38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38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diagonalUp="0" diagonalDown="0">
        <left style="thin">
          <color theme="0"/>
        </left>
        <right style="thick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diagonalUp="0" diagonalDown="0">
        <left style="thick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strike val="0"/>
        <outline val="0"/>
        <shadow val="0"/>
        <u val="none"/>
        <vertAlign val="baseline"/>
        <color theme="1"/>
        <name val="Calibri"/>
        <family val="2"/>
        <charset val="238"/>
        <scheme val="minor"/>
      </font>
      <border diagonalUp="0" diagonalDown="0">
        <left style="thin">
          <color theme="0"/>
        </left>
        <right style="thin">
          <color theme="0"/>
        </right>
        <top/>
        <bottom/>
        <vertical style="thin">
          <color theme="0"/>
        </vertical>
        <horizontal style="thin">
          <color theme="0"/>
        </horizontal>
      </border>
    </dxf>
    <dxf>
      <numFmt numFmtId="13" formatCode="0%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numFmt numFmtId="1" formatCode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38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>
        <top style="thin">
          <color theme="0"/>
        </top>
      </border>
    </dxf>
    <dxf>
      <border>
        <bottom style="thin">
          <color theme="0"/>
        </bottom>
      </border>
    </dxf>
    <dxf>
      <border diagonalUp="0" diagonalDown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</border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38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38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38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38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38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2" justifyLastLine="0" shrinkToFit="0" readingOrder="0"/>
    </dxf>
    <dxf>
      <border outline="0">
        <top style="thin">
          <color theme="9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charset val="238"/>
        <scheme val="minor"/>
      </font>
      <fill>
        <patternFill patternType="solid">
          <fgColor theme="9"/>
          <bgColor theme="9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vertical="center" textRotation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horizontal="left" vertical="center" textRotation="0" wrapText="0" relativeIndent="1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gif"/><Relationship Id="rId13" Type="http://schemas.openxmlformats.org/officeDocument/2006/relationships/image" Target="../media/image13.gif"/><Relationship Id="rId3" Type="http://schemas.openxmlformats.org/officeDocument/2006/relationships/image" Target="../media/image3.gif"/><Relationship Id="rId7" Type="http://schemas.openxmlformats.org/officeDocument/2006/relationships/image" Target="../media/image7.gif"/><Relationship Id="rId12" Type="http://schemas.openxmlformats.org/officeDocument/2006/relationships/image" Target="../media/image12.gif"/><Relationship Id="rId17" Type="http://schemas.openxmlformats.org/officeDocument/2006/relationships/image" Target="../media/image17.gif"/><Relationship Id="rId2" Type="http://schemas.openxmlformats.org/officeDocument/2006/relationships/image" Target="../media/image2.gif"/><Relationship Id="rId16" Type="http://schemas.openxmlformats.org/officeDocument/2006/relationships/image" Target="../media/image16.gif"/><Relationship Id="rId1" Type="http://schemas.openxmlformats.org/officeDocument/2006/relationships/image" Target="../media/image1.gif"/><Relationship Id="rId6" Type="http://schemas.openxmlformats.org/officeDocument/2006/relationships/image" Target="../media/image6.gif"/><Relationship Id="rId11" Type="http://schemas.openxmlformats.org/officeDocument/2006/relationships/image" Target="../media/image11.gif"/><Relationship Id="rId5" Type="http://schemas.openxmlformats.org/officeDocument/2006/relationships/image" Target="../media/image5.gif"/><Relationship Id="rId15" Type="http://schemas.openxmlformats.org/officeDocument/2006/relationships/image" Target="../media/image15.gif"/><Relationship Id="rId10" Type="http://schemas.openxmlformats.org/officeDocument/2006/relationships/image" Target="../media/image10.gif"/><Relationship Id="rId4" Type="http://schemas.openxmlformats.org/officeDocument/2006/relationships/image" Target="../media/image4.gif"/><Relationship Id="rId9" Type="http://schemas.openxmlformats.org/officeDocument/2006/relationships/image" Target="../media/image9.gif"/><Relationship Id="rId14" Type="http://schemas.openxmlformats.org/officeDocument/2006/relationships/image" Target="../media/image14.gi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12</xdr:row>
      <xdr:rowOff>0</xdr:rowOff>
    </xdr:from>
    <xdr:ext cx="152400" cy="76200"/>
    <xdr:pic>
      <xdr:nvPicPr>
        <xdr:cNvPr id="2" name="Obraz 1" descr="Energy Bolt">
          <a:extLst>
            <a:ext uri="{FF2B5EF4-FFF2-40B4-BE49-F238E27FC236}">
              <a16:creationId xmlns:a16="http://schemas.microsoft.com/office/drawing/2014/main" id="{46A8D219-0B89-4D4A-913E-B3D5A433FEB3}"/>
            </a:ext>
          </a:extLst>
        </xdr:cNvPr>
        <xdr:cNvPicPr>
          <a:picLocks noChangeAspect="1" noChangeArrowheads="1" noCrop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71700" y="7886700"/>
          <a:ext cx="152400" cy="76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152400" cy="76200"/>
    <xdr:pic>
      <xdr:nvPicPr>
        <xdr:cNvPr id="3" name="Obraz 2" descr="Fireball">
          <a:extLst>
            <a:ext uri="{FF2B5EF4-FFF2-40B4-BE49-F238E27FC236}">
              <a16:creationId xmlns:a16="http://schemas.microsoft.com/office/drawing/2014/main" id="{5449D3B5-5BC0-42FF-ADEE-2EE11F7A175D}"/>
            </a:ext>
          </a:extLst>
        </xdr:cNvPr>
        <xdr:cNvPicPr>
          <a:picLocks noChangeAspect="1" noChangeArrowheads="1" noCrop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71700" y="7648575"/>
          <a:ext cx="152400" cy="76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9</xdr:row>
      <xdr:rowOff>0</xdr:rowOff>
    </xdr:from>
    <xdr:ext cx="152400" cy="76200"/>
    <xdr:pic>
      <xdr:nvPicPr>
        <xdr:cNvPr id="4" name="Obraz 3" descr="Arrow">
          <a:extLst>
            <a:ext uri="{FF2B5EF4-FFF2-40B4-BE49-F238E27FC236}">
              <a16:creationId xmlns:a16="http://schemas.microsoft.com/office/drawing/2014/main" id="{51F71DD5-B464-4658-8048-FD9BFCB9568C}"/>
            </a:ext>
          </a:extLst>
        </xdr:cNvPr>
        <xdr:cNvPicPr>
          <a:picLocks noChangeAspect="1" noChangeArrowheads="1" noCrop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71700" y="6934200"/>
          <a:ext cx="152400" cy="76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13</xdr:row>
      <xdr:rowOff>0</xdr:rowOff>
    </xdr:from>
    <xdr:ext cx="152400" cy="76200"/>
    <xdr:pic>
      <xdr:nvPicPr>
        <xdr:cNvPr id="5" name="Obraz 4" descr="Boulder">
          <a:extLst>
            <a:ext uri="{FF2B5EF4-FFF2-40B4-BE49-F238E27FC236}">
              <a16:creationId xmlns:a16="http://schemas.microsoft.com/office/drawing/2014/main" id="{8802E85C-4F04-4A25-BE72-ADAF69822286}"/>
            </a:ext>
          </a:extLst>
        </xdr:cNvPr>
        <xdr:cNvPicPr>
          <a:picLocks noChangeAspect="1" noChangeArrowheads="1" noCrop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71700" y="8124825"/>
          <a:ext cx="152400" cy="76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152400" cy="76200"/>
    <xdr:pic>
      <xdr:nvPicPr>
        <xdr:cNvPr id="6" name="Obraz 5" descr="Magic Spear">
          <a:extLst>
            <a:ext uri="{FF2B5EF4-FFF2-40B4-BE49-F238E27FC236}">
              <a16:creationId xmlns:a16="http://schemas.microsoft.com/office/drawing/2014/main" id="{053690C6-7C16-4ADF-99DD-CCCCFE698C59}"/>
            </a:ext>
          </a:extLst>
        </xdr:cNvPr>
        <xdr:cNvPicPr>
          <a:picLocks noChangeAspect="1" noChangeArrowheads="1" noCrop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71700" y="7172325"/>
          <a:ext cx="152400" cy="76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152400" cy="76200"/>
    <xdr:pic>
      <xdr:nvPicPr>
        <xdr:cNvPr id="7" name="Obraz 6" descr="Whirlwind">
          <a:extLst>
            <a:ext uri="{FF2B5EF4-FFF2-40B4-BE49-F238E27FC236}">
              <a16:creationId xmlns:a16="http://schemas.microsoft.com/office/drawing/2014/main" id="{7C768D11-6F0F-4CB5-BFD0-5D764FED37C3}"/>
            </a:ext>
          </a:extLst>
        </xdr:cNvPr>
        <xdr:cNvPicPr>
          <a:picLocks noChangeAspect="1" noChangeArrowheads="1" noCrop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71700" y="8362950"/>
          <a:ext cx="152400" cy="76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7</xdr:row>
      <xdr:rowOff>0</xdr:rowOff>
    </xdr:from>
    <xdr:ext cx="228600" cy="114300"/>
    <xdr:pic>
      <xdr:nvPicPr>
        <xdr:cNvPr id="8" name="Obraz 7" descr="Fiery Explosion">
          <a:extLst>
            <a:ext uri="{FF2B5EF4-FFF2-40B4-BE49-F238E27FC236}">
              <a16:creationId xmlns:a16="http://schemas.microsoft.com/office/drawing/2014/main" id="{5DEC6846-EE64-408A-B77D-C084DA70F45C}"/>
            </a:ext>
          </a:extLst>
        </xdr:cNvPr>
        <xdr:cNvPicPr>
          <a:picLocks noChangeAspect="1" noChangeArrowheads="1" noCrop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71700" y="8601075"/>
          <a:ext cx="2286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152400" cy="76200"/>
    <xdr:pic>
      <xdr:nvPicPr>
        <xdr:cNvPr id="9" name="Obraz 8" descr="Sword">
          <a:extLst>
            <a:ext uri="{FF2B5EF4-FFF2-40B4-BE49-F238E27FC236}">
              <a16:creationId xmlns:a16="http://schemas.microsoft.com/office/drawing/2014/main" id="{6B66A6AF-07E3-4F86-83E5-C9463732E8D2}"/>
            </a:ext>
          </a:extLst>
        </xdr:cNvPr>
        <xdr:cNvPicPr>
          <a:picLocks noChangeAspect="1" noChangeArrowheads="1" noCrop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71700" y="6696075"/>
          <a:ext cx="152400" cy="76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14</xdr:row>
      <xdr:rowOff>0</xdr:rowOff>
    </xdr:from>
    <xdr:ext cx="152400" cy="76200"/>
    <xdr:pic>
      <xdr:nvPicPr>
        <xdr:cNvPr id="10" name="Obraz 9" descr="Eye Beam">
          <a:extLst>
            <a:ext uri="{FF2B5EF4-FFF2-40B4-BE49-F238E27FC236}">
              <a16:creationId xmlns:a16="http://schemas.microsoft.com/office/drawing/2014/main" id="{825ABCF2-C73A-4513-918F-B10CFF4D85B4}"/>
            </a:ext>
          </a:extLst>
        </xdr:cNvPr>
        <xdr:cNvPicPr>
          <a:picLocks noChangeAspect="1" noChangeArrowheads="1" noCrop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71700" y="8839200"/>
          <a:ext cx="152400" cy="76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15</xdr:row>
      <xdr:rowOff>0</xdr:rowOff>
    </xdr:from>
    <xdr:ext cx="152400" cy="76200"/>
    <xdr:pic>
      <xdr:nvPicPr>
        <xdr:cNvPr id="11" name="Obraz 10" descr="Lightning Bolt">
          <a:extLst>
            <a:ext uri="{FF2B5EF4-FFF2-40B4-BE49-F238E27FC236}">
              <a16:creationId xmlns:a16="http://schemas.microsoft.com/office/drawing/2014/main" id="{650415A1-15FF-4269-B393-5CC7277930E5}"/>
            </a:ext>
          </a:extLst>
        </xdr:cNvPr>
        <xdr:cNvPicPr>
          <a:picLocks noChangeAspect="1" noChangeArrowheads="1" noCrop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71700" y="9077325"/>
          <a:ext cx="152400" cy="76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6</xdr:row>
      <xdr:rowOff>0</xdr:rowOff>
    </xdr:from>
    <xdr:ext cx="152400" cy="76200"/>
    <xdr:pic>
      <xdr:nvPicPr>
        <xdr:cNvPr id="12" name="Obraz 11" descr="Tail Spikes">
          <a:extLst>
            <a:ext uri="{FF2B5EF4-FFF2-40B4-BE49-F238E27FC236}">
              <a16:creationId xmlns:a16="http://schemas.microsoft.com/office/drawing/2014/main" id="{DBA4E1BA-5403-4A0F-8F00-5654C52066C3}"/>
            </a:ext>
          </a:extLst>
        </xdr:cNvPr>
        <xdr:cNvPicPr>
          <a:picLocks noChangeAspect="1" noChangeArrowheads="1" noCrop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71700" y="9315450"/>
          <a:ext cx="152400" cy="76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152400" cy="76200"/>
    <xdr:pic>
      <xdr:nvPicPr>
        <xdr:cNvPr id="13" name="Obraz 12" descr="Fiery Breath">
          <a:extLst>
            <a:ext uri="{FF2B5EF4-FFF2-40B4-BE49-F238E27FC236}">
              <a16:creationId xmlns:a16="http://schemas.microsoft.com/office/drawing/2014/main" id="{38EADD5A-93F1-4962-A7CC-8A8F5901A395}"/>
            </a:ext>
          </a:extLst>
        </xdr:cNvPr>
        <xdr:cNvPicPr>
          <a:picLocks noChangeAspect="1" noChangeArrowheads="1" noCrop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71700" y="9553575"/>
          <a:ext cx="152400" cy="76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10</xdr:row>
      <xdr:rowOff>0</xdr:rowOff>
    </xdr:from>
    <xdr:ext cx="228600" cy="114300"/>
    <xdr:pic>
      <xdr:nvPicPr>
        <xdr:cNvPr id="14" name="Obraz 13" descr="Scream">
          <a:extLst>
            <a:ext uri="{FF2B5EF4-FFF2-40B4-BE49-F238E27FC236}">
              <a16:creationId xmlns:a16="http://schemas.microsoft.com/office/drawing/2014/main" id="{7CA4E25F-82C7-4CF4-8B31-4ABEB4FFF5BC}"/>
            </a:ext>
          </a:extLst>
        </xdr:cNvPr>
        <xdr:cNvPicPr>
          <a:picLocks noChangeAspect="1" noChangeArrowheads="1" noCrop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71700" y="9791700"/>
          <a:ext cx="2286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4</xdr:row>
      <xdr:rowOff>0</xdr:rowOff>
    </xdr:from>
    <xdr:ext cx="152400" cy="76200"/>
    <xdr:pic>
      <xdr:nvPicPr>
        <xdr:cNvPr id="15" name="Obraz 14" descr="Club">
          <a:extLst>
            <a:ext uri="{FF2B5EF4-FFF2-40B4-BE49-F238E27FC236}">
              <a16:creationId xmlns:a16="http://schemas.microsoft.com/office/drawing/2014/main" id="{1F623A1E-79DF-4631-BE9C-91DD37DB5891}"/>
            </a:ext>
          </a:extLst>
        </xdr:cNvPr>
        <xdr:cNvPicPr>
          <a:picLocks noChangeAspect="1" noChangeArrowheads="1" noCrop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71700" y="7410450"/>
          <a:ext cx="152400" cy="76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0</xdr:colOff>
      <xdr:row>3</xdr:row>
      <xdr:rowOff>0</xdr:rowOff>
    </xdr:from>
    <xdr:ext cx="152400" cy="76200"/>
    <xdr:pic>
      <xdr:nvPicPr>
        <xdr:cNvPr id="16" name="Obraz 15" descr="Air">
          <a:extLst>
            <a:ext uri="{FF2B5EF4-FFF2-40B4-BE49-F238E27FC236}">
              <a16:creationId xmlns:a16="http://schemas.microsoft.com/office/drawing/2014/main" id="{F0E29C01-6BBD-43CF-ABA9-552D58820D8B}"/>
            </a:ext>
          </a:extLst>
        </xdr:cNvPr>
        <xdr:cNvPicPr>
          <a:picLocks noChangeAspect="1" noChangeArrowheads="1" noCrop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71700" y="10029825"/>
          <a:ext cx="152400" cy="76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0</xdr:colOff>
      <xdr:row>4</xdr:row>
      <xdr:rowOff>0</xdr:rowOff>
    </xdr:from>
    <xdr:ext cx="152400" cy="76200"/>
    <xdr:pic>
      <xdr:nvPicPr>
        <xdr:cNvPr id="17" name="Obraz 16" descr="Fire">
          <a:extLst>
            <a:ext uri="{FF2B5EF4-FFF2-40B4-BE49-F238E27FC236}">
              <a16:creationId xmlns:a16="http://schemas.microsoft.com/office/drawing/2014/main" id="{C624236F-275E-4FDF-B888-354D5C81CA77}"/>
            </a:ext>
          </a:extLst>
        </xdr:cNvPr>
        <xdr:cNvPicPr>
          <a:picLocks noChangeAspect="1" noChangeArrowheads="1" noCrop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71700" y="10267950"/>
          <a:ext cx="152400" cy="76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0</xdr:colOff>
      <xdr:row>5</xdr:row>
      <xdr:rowOff>0</xdr:rowOff>
    </xdr:from>
    <xdr:ext cx="152400" cy="76200"/>
    <xdr:pic>
      <xdr:nvPicPr>
        <xdr:cNvPr id="18" name="Obraz 17" descr="Earth">
          <a:extLst>
            <a:ext uri="{FF2B5EF4-FFF2-40B4-BE49-F238E27FC236}">
              <a16:creationId xmlns:a16="http://schemas.microsoft.com/office/drawing/2014/main" id="{C74B2072-701C-468E-A34A-E4537B46452A}"/>
            </a:ext>
          </a:extLst>
        </xdr:cNvPr>
        <xdr:cNvPicPr>
          <a:picLocks noChangeAspect="1" noChangeArrowheads="1" noCrop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71700" y="10506075"/>
          <a:ext cx="152400" cy="76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0</xdr:colOff>
      <xdr:row>6</xdr:row>
      <xdr:rowOff>0</xdr:rowOff>
    </xdr:from>
    <xdr:ext cx="152400" cy="76200"/>
    <xdr:pic>
      <xdr:nvPicPr>
        <xdr:cNvPr id="19" name="Obraz 18" descr="Water">
          <a:extLst>
            <a:ext uri="{FF2B5EF4-FFF2-40B4-BE49-F238E27FC236}">
              <a16:creationId xmlns:a16="http://schemas.microsoft.com/office/drawing/2014/main" id="{2271AB35-613D-4D40-B954-5CFEFFFF2F68}"/>
            </a:ext>
          </a:extLst>
        </xdr:cNvPr>
        <xdr:cNvPicPr>
          <a:picLocks noChangeAspect="1" noChangeArrowheads="1" noCrop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71700" y="10744200"/>
          <a:ext cx="152400" cy="76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895E2A7-F013-4FFD-B0B1-5B74490F9F4A}" name="Tabela1" displayName="Tabela1" ref="A5:V21" totalsRowShown="0" headerRowDxfId="26" headerRowBorderDxfId="31" tableBorderDxfId="32" totalsRowBorderDxfId="30">
  <autoFilter ref="A5:V21" xr:uid="{0C05B714-907D-4B37-ACDF-018861630120}"/>
  <sortState xmlns:xlrd2="http://schemas.microsoft.com/office/spreadsheetml/2017/richdata2" ref="A6:V21">
    <sortCondition ref="V5:V21"/>
  </sortState>
  <tableColumns count="22">
    <tableColumn id="22" xr3:uid="{6815ED18-55D7-4FD8-8459-E7B499C3B6F1}" name="Site" dataDxfId="29"/>
    <tableColumn id="2" xr3:uid="{18282B7A-D9EA-49E4-94CC-184A4E7A4318}" name="Name" dataDxfId="16"/>
    <tableColumn id="3" xr3:uid="{EF664E80-56AE-4711-9ABB-B7A81B098B12}" name="Lifespan" dataDxfId="14"/>
    <tableColumn id="4" xr3:uid="{E9C16B1D-5EBE-425B-87A9-BC3FC2089824}" name="Type" dataDxfId="8"/>
    <tableColumn id="21" xr3:uid="{275BA310-61A8-49F4-8A0A-AAA24ADC6D35}" name="Range" dataDxfId="7"/>
    <tableColumn id="24" xr3:uid="{4B36387A-865E-46E7-83F6-8ED964460460}" name="Speed3" dataDxfId="6"/>
    <tableColumn id="5" xr3:uid="{EC78D06C-EBA4-4EAE-B694-3234826CC030}" name="Weapon" dataDxfId="15"/>
    <tableColumn id="6" xr3:uid="{581BDF17-F50F-482D-BD4D-6AA2C96CBDA4}" name="Force" dataDxfId="17">
      <calculatedColumnFormula>(VLOOKUP(Tabela1[[#This Row],[Weapon]],WeaponStat[],2,FALSE)*VLOOKUP(Tabela1[[#This Row],[Extra Elemental]],ElementList[],2,FALSE))/2</calculatedColumnFormula>
    </tableColumn>
    <tableColumn id="7" xr3:uid="{891C0138-346D-4FEC-A477-3FCF7662509E}" name="Speed" dataDxfId="28">
      <calculatedColumnFormula>VLOOKUP(Tabela1[[#This Row],[Weapon]],WeaponStat[],3,FALSE)+VLOOKUP(Tabela1[[#This Row],[Extra Elemental]],ElementList[],3,FALSE)</calculatedColumnFormula>
    </tableColumn>
    <tableColumn id="8" xr3:uid="{2D742245-47B6-4E45-B74D-5CAC7BAC87E8}" name="Interval" dataDxfId="27" dataCellStyle="Procentowy">
      <calculatedColumnFormula>(VLOOKUP(Tabela1[[#This Row],[Weapon]],WeaponStat[],4,FALSE)/VLOOKUP(Tabela1[[#This Row],[Extra Elemental]],ElementList[],4,FALSE))</calculatedColumnFormula>
    </tableColumn>
    <tableColumn id="9" xr3:uid="{1FBE2305-A513-4AE2-ADD9-B643B3B6C0B1}" name="Duration" dataDxfId="13">
      <calculatedColumnFormula>(VLOOKUP(Tabela1[[#This Row],[Weapon]],WeaponStat[],5,FALSE)+VLOOKUP(Tabela1[[#This Row],[Extra Elemental]],ElementList[],5,FALSE))</calculatedColumnFormula>
    </tableColumn>
    <tableColumn id="23" xr3:uid="{B10B5E0F-0F07-4848-851F-7401C8A70A18}" name="Extra Elemental" dataDxfId="12"/>
    <tableColumn id="13" xr3:uid="{B0D705ED-3295-4FC7-B4E4-C0C229DBF03D}" name="Attacking Range" dataDxfId="25"/>
    <tableColumn id="14" xr3:uid="{18B72276-2398-46CC-ADD7-D166420D71F8}" name="Fleeing Range" dataDxfId="24"/>
    <tableColumn id="15" xr3:uid="{2AEF712F-4FAA-4E5D-B683-F5863001A174}" name="Dodging Thickness" dataDxfId="23"/>
    <tableColumn id="17" xr3:uid="{E6F59EF4-B53E-4A23-8ECB-AE0DB26C55D0}" name="Health" dataDxfId="5">
      <calculatedColumnFormula>Tabela1[[#This Row],[Lifespan]]*Tabela1[[#This Row],[Range]]*Tabela1[[#This Row],[Speed3]]</calculatedColumnFormula>
    </tableColumn>
    <tableColumn id="18" xr3:uid="{45B796CC-C084-40FE-8F2B-80739B23A9FD}" name="Dexterity" dataDxfId="4">
      <calculatedColumnFormula>Tabela1[[#This Row],[Range]]*Tabela1[[#This Row],[Speed3]]*Tabela1[[#This Row],[Speed]]*VLOOKUP(Tabela1[[#This Row],[Weapon]],WeaponStat[],7,FALSE)</calculatedColumnFormula>
    </tableColumn>
    <tableColumn id="16" xr3:uid="{111127CB-E47C-4B44-9B19-3E2D886EC844}" name="Damage" dataDxfId="11">
      <calculatedColumnFormula>(Tabela1[[#This Row],[Force]]*Tabela1[[#This Row],[Speed]])*VLOOKUP(Tabela1[[#This Row],[Weapon]],WeaponStat[],8,FALSE)</calculatedColumnFormula>
    </tableColumn>
    <tableColumn id="1" xr3:uid="{DE6D8391-C66B-4EE9-8ECB-DC8F1A573533}" name="Maximum damage chance" dataDxfId="22" dataCellStyle="Procentowy">
      <calculatedColumnFormula>Tabela1[[#This Row],[Dexterity]]/(Tabela1[[#This Row],[Dexterity]]+Tabela1[[#This Row],[Health]])</calculatedColumnFormula>
    </tableColumn>
    <tableColumn id="19" xr3:uid="{6A702713-1C32-48CF-84F7-CA4874DFFBDA}" name="Defense" dataDxfId="3">
      <calculatedColumnFormula>Tabela1[[#This Row],[Speed]]*Tabela1[[#This Row],[Range]]*Tabela1[[#This Row],[Lifespan]]*VLOOKUP(Tabela1[[#This Row],[Weapon]],WeaponStat[],7,FALSE)</calculatedColumnFormula>
    </tableColumn>
    <tableColumn id="25" xr3:uid="{8F288F23-C928-4B76-B8D3-0B0D581A0042}" name="Fight back chance" dataDxfId="10" dataCellStyle="Procentowy">
      <calculatedColumnFormula>SQRT(SQRT(Tabela1[[#This Row],[Defense]]*Tabela1[[#This Row],[Health]])*Tabela1[[#This Row],[Dexterity]])/100</calculatedColumnFormula>
    </tableColumn>
    <tableColumn id="20" xr3:uid="{0F40EDEB-4A3A-422E-AA3E-DB487DEA854C}" name="Rank" dataDxfId="9">
      <calculatedColumnFormula>(SQRT(Tabela1[[#This Row],[Health]]*Tabela1[[#This Row],[Dexterity]])+SQRT((Tabela1[[#This Row],[Defense]]*Tabela1[[#This Row],[Fight back chance]])*(Tabela1[[#This Row],[Damage]]*Tabela1[[#This Row],[Maximum damage chance]])))/2</calculatedColumnFormula>
    </tableColumn>
  </tableColumns>
  <tableStyleInfo name="TableStyleDark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F43F97A-37D6-4FFC-8662-D876EDA722AF}" name="WeaponStat" displayName="WeaponStat" ref="A3:J18" totalsRowShown="0" headerRowDxfId="50" dataDxfId="49">
  <autoFilter ref="A3:J18" xr:uid="{C765B3AC-7314-4DDE-B003-B5ABCB46E862}"/>
  <sortState xmlns:xlrd2="http://schemas.microsoft.com/office/spreadsheetml/2017/richdata2" ref="A4:J18">
    <sortCondition ref="F3:F18"/>
  </sortState>
  <tableColumns count="10">
    <tableColumn id="1" xr3:uid="{FE9F3823-075F-44D8-98A4-83CF3FAD1D9B}" name="Weapon" dataDxfId="48"/>
    <tableColumn id="2" xr3:uid="{10DC3878-A823-4F21-AC98-9C9F9FE40113}" name="Force" dataDxfId="47"/>
    <tableColumn id="3" xr3:uid="{1427362A-088F-41C8-875E-4C8493E58B92}" name="Speed" dataDxfId="46"/>
    <tableColumn id="4" xr3:uid="{3FE329E9-581F-40B2-BE78-4CD3F627DA7F}" name="Interval" dataDxfId="45"/>
    <tableColumn id="5" xr3:uid="{520560C6-46B6-4E55-A2F0-6832C1CC3F55}" name="Duration" dataDxfId="21"/>
    <tableColumn id="7" xr3:uid="{458431A2-7928-40B1-9F37-A336CC4A168C}" name="Damage" dataDxfId="19">
      <calculatedColumnFormula>(WeaponStat[[#This Row],[Force]]*WeaponStat[[#This Row],[Speed]])*WeaponStat[[#This Row],[Interval]]</calculatedColumnFormula>
    </tableColumn>
    <tableColumn id="6" xr3:uid="{84BB9B50-A3D1-4A16-85E8-6FC70EEFC6C2}" name="Dexterity(Q)" dataDxfId="20" dataCellStyle="Procentowy">
      <calculatedColumnFormula>(((WeaponStat[[#This Row],[Duration]]/50))/WeaponStat[[#This Row],[Interval]])</calculatedColumnFormula>
    </tableColumn>
    <tableColumn id="10" xr3:uid="{029E6A05-FADE-44D8-865B-79863573B4F5}" name="Damage(Q)" dataDxfId="44">
      <calculatedColumnFormula>1/(((WeaponStat[[#This Row],[Duration]]/50))/WeaponStat[[#This Row],[Interval]])</calculatedColumnFormula>
    </tableColumn>
    <tableColumn id="8" xr3:uid="{85200713-CB33-491A-861F-46EFF5F8820F}" name="Type" dataDxfId="43"/>
    <tableColumn id="9" xr3:uid="{90C67555-367F-4969-BFA7-660C137E916A}" name="Elemental" dataDxfId="42"/>
  </tableColumns>
  <tableStyleInfo name="TableStyleMedium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2639485-DA78-424E-8965-CFBDAF684016}" name="ElementList" displayName="ElementList" ref="L3:S8" totalsRowShown="0" headerRowDxfId="41" tableBorderDxfId="40">
  <autoFilter ref="L3:S8" xr:uid="{3357C83C-B1DE-48D1-A025-237E068B8DD4}"/>
  <tableColumns count="8">
    <tableColumn id="1" xr3:uid="{D05E432D-711B-49EA-BB4D-E188E1543933}" name="Elemental" dataDxfId="39"/>
    <tableColumn id="2" xr3:uid="{9BD5C863-7ACC-4C5D-A8C3-EE72ED65EC22}" name="Force" dataDxfId="38"/>
    <tableColumn id="3" xr3:uid="{FABC2A77-4094-4250-ACF0-87F3C6EFB4E8}" name="Speed" dataDxfId="37"/>
    <tableColumn id="4" xr3:uid="{7173CBC7-8FF4-40C8-9003-6B6A7FE984D1}" name="Interval" dataDxfId="36"/>
    <tableColumn id="5" xr3:uid="{3778B20A-6354-487B-A9DA-DB98ECBC2690}" name="Duration" dataDxfId="35"/>
    <tableColumn id="8" xr3:uid="{BE3C339D-C1CE-4C0E-8BBA-C9AD8220561E}" name="Damage" dataDxfId="18">
      <calculatedColumnFormula>(ElementList[[#This Row],[Force]]*ElementList[[#This Row],[Speed]])*ElementList[[#This Row],[Interval]]</calculatedColumnFormula>
    </tableColumn>
    <tableColumn id="6" xr3:uid="{B7C2C4B2-ED24-435C-BD2C-E93DC9F3EAFC}" name="Q1" dataDxfId="34">
      <calculatedColumnFormula>(((ElementList[[#This Row],[Duration]]/50))/ElementList[[#This Row],[Interval]])</calculatedColumnFormula>
    </tableColumn>
    <tableColumn id="7" xr3:uid="{B0789A70-A6DC-495D-948D-4948964097E3}" name="Q2" dataDxfId="33">
      <calculatedColumnFormula>1/(((ElementList[[#This Row],[Duration]]/50))/ElementList[[#This Row],[Interval]])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FDE586-30FF-4EFD-AE71-B2547EA9A788}">
  <sheetPr>
    <pageSetUpPr fitToPage="1"/>
  </sheetPr>
  <dimension ref="A1:V22"/>
  <sheetViews>
    <sheetView showGridLines="0" tabSelected="1" zoomScale="120" zoomScaleNormal="120" workbookViewId="0">
      <pane ySplit="5" topLeftCell="A6" activePane="bottomLeft" state="frozen"/>
      <selection activeCell="B1" sqref="B1"/>
      <selection pane="bottomLeft" activeCell="P4" sqref="P4"/>
    </sheetView>
  </sheetViews>
  <sheetFormatPr defaultRowHeight="18.75" customHeight="1" x14ac:dyDescent="0.25"/>
  <cols>
    <col min="1" max="1" width="6.7109375" customWidth="1"/>
    <col min="2" max="2" width="16" bestFit="1" customWidth="1"/>
    <col min="3" max="3" width="9.5703125" bestFit="1" customWidth="1"/>
    <col min="4" max="6" width="9.5703125" customWidth="1"/>
    <col min="7" max="7" width="15.7109375" bestFit="1" customWidth="1"/>
    <col min="8" max="11" width="8.5703125" customWidth="1"/>
    <col min="12" max="12" width="10.85546875" customWidth="1"/>
    <col min="13" max="14" width="9.7109375" hidden="1" customWidth="1"/>
    <col min="15" max="15" width="8.85546875" hidden="1" customWidth="1"/>
    <col min="16" max="16" width="9.7109375" customWidth="1"/>
    <col min="18" max="19" width="10.7109375" customWidth="1"/>
    <col min="20" max="20" width="9.7109375" customWidth="1"/>
    <col min="21" max="21" width="10.7109375" customWidth="1"/>
    <col min="22" max="22" width="7.42578125" customWidth="1"/>
  </cols>
  <sheetData>
    <row r="1" spans="1:22" s="84" customFormat="1" ht="22.5" customHeight="1" x14ac:dyDescent="0.25"/>
    <row r="2" spans="1:22" ht="7.5" customHeight="1" thickBot="1" x14ac:dyDescent="0.3"/>
    <row r="3" spans="1:22" ht="18.75" customHeight="1" thickTop="1" thickBot="1" x14ac:dyDescent="0.3">
      <c r="A3" s="21"/>
      <c r="B3" s="61"/>
      <c r="C3" s="104" t="s">
        <v>89</v>
      </c>
      <c r="D3" s="105"/>
      <c r="E3" s="105"/>
      <c r="F3" s="106"/>
      <c r="G3" s="107" t="s">
        <v>47</v>
      </c>
      <c r="H3" s="105"/>
      <c r="I3" s="105"/>
      <c r="J3" s="105"/>
      <c r="K3" s="105"/>
      <c r="L3" s="106"/>
      <c r="M3" s="62" t="s">
        <v>1</v>
      </c>
      <c r="N3" s="62"/>
      <c r="O3" s="62"/>
      <c r="P3" s="62" t="s">
        <v>48</v>
      </c>
      <c r="Q3" s="62"/>
      <c r="R3" s="62"/>
      <c r="S3" s="62"/>
      <c r="T3" s="62"/>
      <c r="U3" s="62"/>
      <c r="V3" s="63"/>
    </row>
    <row r="4" spans="1:22" ht="35.25" customHeight="1" thickTop="1" thickBot="1" x14ac:dyDescent="0.3">
      <c r="A4" s="28"/>
      <c r="B4" s="38"/>
      <c r="C4" s="64" t="s">
        <v>69</v>
      </c>
      <c r="D4" s="65" t="s">
        <v>67</v>
      </c>
      <c r="E4" s="66" t="s">
        <v>66</v>
      </c>
      <c r="F4" s="67" t="s">
        <v>63</v>
      </c>
      <c r="G4" s="65" t="s">
        <v>68</v>
      </c>
      <c r="H4" s="66" t="s">
        <v>64</v>
      </c>
      <c r="I4" s="66" t="s">
        <v>63</v>
      </c>
      <c r="J4" s="66" t="s">
        <v>62</v>
      </c>
      <c r="K4" s="67" t="s">
        <v>61</v>
      </c>
      <c r="L4" s="64" t="s">
        <v>65</v>
      </c>
      <c r="M4" s="68"/>
      <c r="N4" s="66"/>
      <c r="O4" s="74"/>
      <c r="P4" s="68" t="s">
        <v>51</v>
      </c>
      <c r="Q4" s="66" t="s">
        <v>52</v>
      </c>
      <c r="R4" s="66" t="s">
        <v>53</v>
      </c>
      <c r="S4" s="69" t="s">
        <v>78</v>
      </c>
      <c r="T4" s="66" t="s">
        <v>71</v>
      </c>
      <c r="U4" s="70" t="s">
        <v>73</v>
      </c>
      <c r="V4" s="50" t="s">
        <v>85</v>
      </c>
    </row>
    <row r="5" spans="1:22" ht="57.75" customHeight="1" thickTop="1" x14ac:dyDescent="0.25">
      <c r="A5" s="29" t="s">
        <v>56</v>
      </c>
      <c r="B5" s="39" t="s">
        <v>45</v>
      </c>
      <c r="C5" s="95" t="s">
        <v>0</v>
      </c>
      <c r="D5" s="43" t="s">
        <v>3</v>
      </c>
      <c r="E5" s="30" t="s">
        <v>8</v>
      </c>
      <c r="F5" s="44" t="s">
        <v>46</v>
      </c>
      <c r="G5" s="91" t="s">
        <v>2</v>
      </c>
      <c r="H5" s="30" t="s">
        <v>4</v>
      </c>
      <c r="I5" s="30" t="s">
        <v>5</v>
      </c>
      <c r="J5" s="30" t="s">
        <v>6</v>
      </c>
      <c r="K5" s="44" t="s">
        <v>7</v>
      </c>
      <c r="L5" s="95" t="s">
        <v>59</v>
      </c>
      <c r="M5" s="51" t="s">
        <v>9</v>
      </c>
      <c r="N5" s="30" t="s">
        <v>10</v>
      </c>
      <c r="O5" s="75" t="s">
        <v>11</v>
      </c>
      <c r="P5" s="51" t="s">
        <v>83</v>
      </c>
      <c r="Q5" s="30" t="s">
        <v>82</v>
      </c>
      <c r="R5" s="30" t="s">
        <v>72</v>
      </c>
      <c r="S5" s="31" t="s">
        <v>76</v>
      </c>
      <c r="T5" s="30" t="s">
        <v>70</v>
      </c>
      <c r="U5" s="52" t="s">
        <v>77</v>
      </c>
      <c r="V5" s="58" t="s">
        <v>84</v>
      </c>
    </row>
    <row r="6" spans="1:22" ht="18.75" customHeight="1" x14ac:dyDescent="0.25">
      <c r="A6" s="33" t="s">
        <v>58</v>
      </c>
      <c r="B6" s="41" t="s">
        <v>34</v>
      </c>
      <c r="C6" s="97">
        <v>14</v>
      </c>
      <c r="D6" s="48" t="s">
        <v>14</v>
      </c>
      <c r="E6" s="25">
        <v>3</v>
      </c>
      <c r="F6" s="72">
        <v>0.75</v>
      </c>
      <c r="G6" s="92" t="s">
        <v>20</v>
      </c>
      <c r="H6" s="26">
        <f>(VLOOKUP(Tabela1[[#This Row],[Weapon]],WeaponStat[],2,FALSE)*VLOOKUP(Tabela1[[#This Row],[Extra Elemental]],ElementList[],2,FALSE))/2</f>
        <v>10</v>
      </c>
      <c r="I6" s="26">
        <f>VLOOKUP(Tabela1[[#This Row],[Weapon]],WeaponStat[],3,FALSE)+VLOOKUP(Tabela1[[#This Row],[Extra Elemental]],ElementList[],3,FALSE)</f>
        <v>3</v>
      </c>
      <c r="J6" s="27">
        <f>(VLOOKUP(Tabela1[[#This Row],[Weapon]],WeaponStat[],4,FALSE)/VLOOKUP(Tabela1[[#This Row],[Extra Elemental]],ElementList[],4,FALSE))</f>
        <v>1</v>
      </c>
      <c r="K6" s="86">
        <f>(VLOOKUP(Tabela1[[#This Row],[Weapon]],WeaponStat[],5,FALSE)+VLOOKUP(Tabela1[[#This Row],[Extra Elemental]],ElementList[],5,FALSE))</f>
        <v>20</v>
      </c>
      <c r="L6" s="99" t="s">
        <v>60</v>
      </c>
      <c r="M6" s="78">
        <v>78</v>
      </c>
      <c r="N6" s="25">
        <v>48</v>
      </c>
      <c r="O6" s="79">
        <v>9</v>
      </c>
      <c r="P6" s="55">
        <f>Tabela1[[#This Row],[Lifespan]]*Tabela1[[#This Row],[Range]]*Tabela1[[#This Row],[Speed3]]</f>
        <v>31.5</v>
      </c>
      <c r="Q6" s="26">
        <f>Tabela1[[#This Row],[Range]]*Tabela1[[#This Row],[Speed3]]*Tabela1[[#This Row],[Speed]]*VLOOKUP(Tabela1[[#This Row],[Weapon]],WeaponStat[],7,FALSE)</f>
        <v>2.7</v>
      </c>
      <c r="R6" s="26">
        <f>(Tabela1[[#This Row],[Force]]*Tabela1[[#This Row],[Speed]])*VLOOKUP(Tabela1[[#This Row],[Weapon]],WeaponStat[],8,FALSE)</f>
        <v>75</v>
      </c>
      <c r="S6" s="27">
        <f>Tabela1[[#This Row],[Dexterity]]/(Tabela1[[#This Row],[Dexterity]]+Tabela1[[#This Row],[Health]])</f>
        <v>7.8947368421052627E-2</v>
      </c>
      <c r="T6" s="26">
        <f>Tabela1[[#This Row],[Speed]]*Tabela1[[#This Row],[Range]]*Tabela1[[#This Row],[Lifespan]]*VLOOKUP(Tabela1[[#This Row],[Weapon]],WeaponStat[],7,FALSE)</f>
        <v>50.400000000000006</v>
      </c>
      <c r="U6" s="54">
        <f>SQRT(SQRT(Tabela1[[#This Row],[Defense]]*Tabela1[[#This Row],[Health]])*Tabela1[[#This Row],[Dexterity]])/100</f>
        <v>0.1037211097120197</v>
      </c>
      <c r="V6" s="59">
        <f>(SQRT(Tabela1[[#This Row],[Health]]*Tabela1[[#This Row],[Dexterity]])+SQRT((Tabela1[[#This Row],[Defense]]*Tabela1[[#This Row],[Fight back chance]])*(Tabela1[[#This Row],[Damage]]*Tabela1[[#This Row],[Maximum damage chance]])))/2</f>
        <v>7.3928792147891667</v>
      </c>
    </row>
    <row r="7" spans="1:22" ht="18.75" customHeight="1" x14ac:dyDescent="0.25">
      <c r="A7" s="32" t="s">
        <v>57</v>
      </c>
      <c r="B7" s="41" t="s">
        <v>19</v>
      </c>
      <c r="C7" s="97">
        <v>15</v>
      </c>
      <c r="D7" s="48" t="s">
        <v>14</v>
      </c>
      <c r="E7" s="25">
        <v>3</v>
      </c>
      <c r="F7" s="72">
        <v>0.75</v>
      </c>
      <c r="G7" s="92" t="s">
        <v>20</v>
      </c>
      <c r="H7" s="26">
        <f>(VLOOKUP(Tabela1[[#This Row],[Weapon]],WeaponStat[],2,FALSE)*VLOOKUP(Tabela1[[#This Row],[Extra Elemental]],ElementList[],2,FALSE))/2</f>
        <v>10</v>
      </c>
      <c r="I7" s="26">
        <f>VLOOKUP(Tabela1[[#This Row],[Weapon]],WeaponStat[],3,FALSE)+VLOOKUP(Tabela1[[#This Row],[Extra Elemental]],ElementList[],3,FALSE)</f>
        <v>3</v>
      </c>
      <c r="J7" s="27">
        <f>(VLOOKUP(Tabela1[[#This Row],[Weapon]],WeaponStat[],4,FALSE)/VLOOKUP(Tabela1[[#This Row],[Extra Elemental]],ElementList[],4,FALSE))</f>
        <v>1</v>
      </c>
      <c r="K7" s="86">
        <f>(VLOOKUP(Tabela1[[#This Row],[Weapon]],WeaponStat[],5,FALSE)+VLOOKUP(Tabela1[[#This Row],[Extra Elemental]],ElementList[],5,FALSE))</f>
        <v>20</v>
      </c>
      <c r="L7" s="99" t="s">
        <v>60</v>
      </c>
      <c r="M7" s="78">
        <v>78</v>
      </c>
      <c r="N7" s="25">
        <v>48</v>
      </c>
      <c r="O7" s="79">
        <v>9</v>
      </c>
      <c r="P7" s="55">
        <f>Tabela1[[#This Row],[Lifespan]]*Tabela1[[#This Row],[Range]]*Tabela1[[#This Row],[Speed3]]</f>
        <v>33.75</v>
      </c>
      <c r="Q7" s="26">
        <f>Tabela1[[#This Row],[Range]]*Tabela1[[#This Row],[Speed3]]*Tabela1[[#This Row],[Speed]]*VLOOKUP(Tabela1[[#This Row],[Weapon]],WeaponStat[],7,FALSE)</f>
        <v>2.7</v>
      </c>
      <c r="R7" s="26">
        <f>(Tabela1[[#This Row],[Force]]*Tabela1[[#This Row],[Speed]])*VLOOKUP(Tabela1[[#This Row],[Weapon]],WeaponStat[],8,FALSE)</f>
        <v>75</v>
      </c>
      <c r="S7" s="27">
        <f>Tabela1[[#This Row],[Dexterity]]/(Tabela1[[#This Row],[Dexterity]]+Tabela1[[#This Row],[Health]])</f>
        <v>7.407407407407407E-2</v>
      </c>
      <c r="T7" s="26">
        <f>Tabela1[[#This Row],[Speed]]*Tabela1[[#This Row],[Range]]*Tabela1[[#This Row],[Lifespan]]*VLOOKUP(Tabela1[[#This Row],[Weapon]],WeaponStat[],7,FALSE)</f>
        <v>54</v>
      </c>
      <c r="U7" s="54">
        <f>SQRT(SQRT(Tabela1[[#This Row],[Defense]]*Tabela1[[#This Row],[Health]])*Tabela1[[#This Row],[Dexterity]])/100</f>
        <v>0.10736154838355186</v>
      </c>
      <c r="V7" s="59">
        <f>(SQRT(Tabela1[[#This Row],[Health]]*Tabela1[[#This Row],[Dexterity]])+SQRT((Tabela1[[#This Row],[Defense]]*Tabela1[[#This Row],[Fight back chance]])*(Tabela1[[#This Row],[Damage]]*Tabela1[[#This Row],[Maximum damage chance]])))/2</f>
        <v>7.6105958590215099</v>
      </c>
    </row>
    <row r="8" spans="1:22" ht="18.75" customHeight="1" x14ac:dyDescent="0.25">
      <c r="A8" s="33" t="s">
        <v>58</v>
      </c>
      <c r="B8" s="41" t="s">
        <v>40</v>
      </c>
      <c r="C8" s="97">
        <v>5</v>
      </c>
      <c r="D8" s="48" t="s">
        <v>14</v>
      </c>
      <c r="E8" s="25">
        <v>3</v>
      </c>
      <c r="F8" s="72">
        <v>1</v>
      </c>
      <c r="G8" s="92" t="s">
        <v>18</v>
      </c>
      <c r="H8" s="26">
        <f>(VLOOKUP(Tabela1[[#This Row],[Weapon]],WeaponStat[],2,FALSE)*VLOOKUP(Tabela1[[#This Row],[Extra Elemental]],ElementList[],2,FALSE))/2</f>
        <v>5</v>
      </c>
      <c r="I8" s="26">
        <f>VLOOKUP(Tabela1[[#This Row],[Weapon]],WeaponStat[],3,FALSE)+VLOOKUP(Tabela1[[#This Row],[Extra Elemental]],ElementList[],3,FALSE)</f>
        <v>4</v>
      </c>
      <c r="J8" s="27">
        <f>(VLOOKUP(Tabela1[[#This Row],[Weapon]],WeaponStat[],4,FALSE)/VLOOKUP(Tabela1[[#This Row],[Extra Elemental]],ElementList[],4,FALSE))</f>
        <v>0.8</v>
      </c>
      <c r="K8" s="46">
        <f>(VLOOKUP(Tabela1[[#This Row],[Weapon]],WeaponStat[],5,FALSE)+VLOOKUP(Tabela1[[#This Row],[Extra Elemental]],ElementList[],5,FALSE))</f>
        <v>20</v>
      </c>
      <c r="L8" s="99" t="s">
        <v>60</v>
      </c>
      <c r="M8" s="78">
        <v>12</v>
      </c>
      <c r="N8" s="25">
        <v>15</v>
      </c>
      <c r="O8" s="79">
        <v>6</v>
      </c>
      <c r="P8" s="55">
        <f>Tabela1[[#This Row],[Lifespan]]*Tabela1[[#This Row],[Range]]*Tabela1[[#This Row],[Speed3]]</f>
        <v>15</v>
      </c>
      <c r="Q8" s="26">
        <f>Tabela1[[#This Row],[Range]]*Tabela1[[#This Row],[Speed3]]*Tabela1[[#This Row],[Speed]]*VLOOKUP(Tabela1[[#This Row],[Weapon]],WeaponStat[],7,FALSE)</f>
        <v>6</v>
      </c>
      <c r="R8" s="26">
        <f>(Tabela1[[#This Row],[Force]]*Tabela1[[#This Row],[Speed]])*VLOOKUP(Tabela1[[#This Row],[Weapon]],WeaponStat[],8,FALSE)</f>
        <v>40</v>
      </c>
      <c r="S8" s="27">
        <f>Tabela1[[#This Row],[Dexterity]]/(Tabela1[[#This Row],[Dexterity]]+Tabela1[[#This Row],[Health]])</f>
        <v>0.2857142857142857</v>
      </c>
      <c r="T8" s="26">
        <f>Tabela1[[#This Row],[Speed]]*Tabela1[[#This Row],[Range]]*Tabela1[[#This Row],[Lifespan]]*VLOOKUP(Tabela1[[#This Row],[Weapon]],WeaponStat[],7,FALSE)</f>
        <v>30</v>
      </c>
      <c r="U8" s="54">
        <f>SQRT(SQRT(Tabela1[[#This Row],[Defense]]*Tabela1[[#This Row],[Health]])*Tabela1[[#This Row],[Dexterity]])/100</f>
        <v>0.11281809279259181</v>
      </c>
      <c r="V8" s="59">
        <f>(SQRT(Tabela1[[#This Row],[Health]]*Tabela1[[#This Row],[Dexterity]])+SQRT((Tabela1[[#This Row],[Defense]]*Tabela1[[#This Row],[Fight back chance]])*(Tabela1[[#This Row],[Damage]]*Tabela1[[#This Row],[Maximum damage chance]])))/2</f>
        <v>7.8530985060485587</v>
      </c>
    </row>
    <row r="9" spans="1:22" ht="18.75" customHeight="1" x14ac:dyDescent="0.25">
      <c r="A9" s="32" t="s">
        <v>74</v>
      </c>
      <c r="B9" s="40" t="s">
        <v>26</v>
      </c>
      <c r="C9" s="96">
        <v>7</v>
      </c>
      <c r="D9" s="47" t="s">
        <v>14</v>
      </c>
      <c r="E9" s="22">
        <v>3</v>
      </c>
      <c r="F9" s="71">
        <v>1</v>
      </c>
      <c r="G9" s="93" t="s">
        <v>27</v>
      </c>
      <c r="H9" s="23">
        <f>(VLOOKUP(Tabela1[[#This Row],[Weapon]],WeaponStat[],2,FALSE)*VLOOKUP(Tabela1[[#This Row],[Extra Elemental]],ElementList[],2,FALSE))/2</f>
        <v>5</v>
      </c>
      <c r="I9" s="23">
        <f>VLOOKUP(Tabela1[[#This Row],[Weapon]],WeaponStat[],3,FALSE)+VLOOKUP(Tabela1[[#This Row],[Extra Elemental]],ElementList[],3,FALSE)</f>
        <v>3</v>
      </c>
      <c r="J9" s="24">
        <f>(VLOOKUP(Tabela1[[#This Row],[Weapon]],WeaponStat[],4,FALSE)/VLOOKUP(Tabela1[[#This Row],[Extra Elemental]],ElementList[],4,FALSE))</f>
        <v>0.4</v>
      </c>
      <c r="K9" s="45">
        <f>(VLOOKUP(Tabela1[[#This Row],[Weapon]],WeaponStat[],5,FALSE)+VLOOKUP(Tabela1[[#This Row],[Extra Elemental]],ElementList[],5,FALSE))</f>
        <v>15</v>
      </c>
      <c r="L9" s="99" t="s">
        <v>60</v>
      </c>
      <c r="M9" s="76">
        <v>12</v>
      </c>
      <c r="N9" s="22">
        <v>15</v>
      </c>
      <c r="O9" s="77">
        <v>6</v>
      </c>
      <c r="P9" s="53">
        <f>Tabela1[[#This Row],[Lifespan]]*Tabela1[[#This Row],[Range]]*Tabela1[[#This Row],[Speed3]]</f>
        <v>21</v>
      </c>
      <c r="Q9" s="23">
        <f>Tabela1[[#This Row],[Range]]*Tabela1[[#This Row],[Speed3]]*Tabela1[[#This Row],[Speed]]*VLOOKUP(Tabela1[[#This Row],[Weapon]],WeaponStat[],7,FALSE)</f>
        <v>6.7499999999999991</v>
      </c>
      <c r="R9" s="23">
        <f>(Tabela1[[#This Row],[Force]]*Tabela1[[#This Row],[Speed]])*VLOOKUP(Tabela1[[#This Row],[Weapon]],WeaponStat[],8,FALSE)</f>
        <v>20.000000000000004</v>
      </c>
      <c r="S9" s="24">
        <f>Tabela1[[#This Row],[Dexterity]]/(Tabela1[[#This Row],[Dexterity]]+Tabela1[[#This Row],[Health]])</f>
        <v>0.2432432432432432</v>
      </c>
      <c r="T9" s="23">
        <f>Tabela1[[#This Row],[Speed]]*Tabela1[[#This Row],[Range]]*Tabela1[[#This Row],[Lifespan]]*VLOOKUP(Tabela1[[#This Row],[Weapon]],WeaponStat[],7,FALSE)</f>
        <v>47.249999999999993</v>
      </c>
      <c r="U9" s="54">
        <f>SQRT(SQRT(Tabela1[[#This Row],[Defense]]*Tabela1[[#This Row],[Health]])*Tabela1[[#This Row],[Dexterity]])/100</f>
        <v>0.14581666571417684</v>
      </c>
      <c r="V9" s="59">
        <f>(SQRT(Tabela1[[#This Row],[Health]]*Tabela1[[#This Row],[Dexterity]])+SQRT((Tabela1[[#This Row],[Defense]]*Tabela1[[#This Row],[Fight back chance]])*(Tabela1[[#This Row],[Damage]]*Tabela1[[#This Row],[Maximum damage chance]])))/2</f>
        <v>8.8476825869186939</v>
      </c>
    </row>
    <row r="10" spans="1:22" ht="18.75" customHeight="1" x14ac:dyDescent="0.25">
      <c r="A10" s="32" t="s">
        <v>74</v>
      </c>
      <c r="B10" s="40" t="s">
        <v>17</v>
      </c>
      <c r="C10" s="96">
        <v>7</v>
      </c>
      <c r="D10" s="47" t="s">
        <v>14</v>
      </c>
      <c r="E10" s="22">
        <v>3</v>
      </c>
      <c r="F10" s="71">
        <v>1</v>
      </c>
      <c r="G10" s="93" t="s">
        <v>18</v>
      </c>
      <c r="H10" s="23">
        <f>(VLOOKUP(Tabela1[[#This Row],[Weapon]],WeaponStat[],2,FALSE)*VLOOKUP(Tabela1[[#This Row],[Extra Elemental]],ElementList[],2,FALSE))/2</f>
        <v>5</v>
      </c>
      <c r="I10" s="23">
        <f>VLOOKUP(Tabela1[[#This Row],[Weapon]],WeaponStat[],3,FALSE)+VLOOKUP(Tabela1[[#This Row],[Extra Elemental]],ElementList[],3,FALSE)</f>
        <v>4</v>
      </c>
      <c r="J10" s="24">
        <f>(VLOOKUP(Tabela1[[#This Row],[Weapon]],WeaponStat[],4,FALSE)/VLOOKUP(Tabela1[[#This Row],[Extra Elemental]],ElementList[],4,FALSE))</f>
        <v>0.8</v>
      </c>
      <c r="K10" s="45">
        <f>(VLOOKUP(Tabela1[[#This Row],[Weapon]],WeaponStat[],5,FALSE)+VLOOKUP(Tabela1[[#This Row],[Extra Elemental]],ElementList[],5,FALSE))</f>
        <v>20</v>
      </c>
      <c r="L10" s="99" t="s">
        <v>60</v>
      </c>
      <c r="M10" s="76">
        <v>84</v>
      </c>
      <c r="N10" s="22">
        <v>44</v>
      </c>
      <c r="O10" s="77">
        <v>6</v>
      </c>
      <c r="P10" s="53">
        <f>Tabela1[[#This Row],[Lifespan]]*Tabela1[[#This Row],[Range]]*Tabela1[[#This Row],[Speed3]]</f>
        <v>21</v>
      </c>
      <c r="Q10" s="23">
        <f>Tabela1[[#This Row],[Range]]*Tabela1[[#This Row],[Speed3]]*Tabela1[[#This Row],[Speed]]*VLOOKUP(Tabela1[[#This Row],[Weapon]],WeaponStat[],7,FALSE)</f>
        <v>6</v>
      </c>
      <c r="R10" s="23">
        <f>(Tabela1[[#This Row],[Force]]*Tabela1[[#This Row],[Speed]])*VLOOKUP(Tabela1[[#This Row],[Weapon]],WeaponStat[],8,FALSE)</f>
        <v>40</v>
      </c>
      <c r="S10" s="24">
        <f>Tabela1[[#This Row],[Dexterity]]/(Tabela1[[#This Row],[Dexterity]]+Tabela1[[#This Row],[Health]])</f>
        <v>0.22222222222222221</v>
      </c>
      <c r="T10" s="23">
        <f>Tabela1[[#This Row],[Speed]]*Tabela1[[#This Row],[Range]]*Tabela1[[#This Row],[Lifespan]]*VLOOKUP(Tabela1[[#This Row],[Weapon]],WeaponStat[],7,FALSE)</f>
        <v>42</v>
      </c>
      <c r="U10" s="54">
        <f>SQRT(SQRT(Tabela1[[#This Row],[Defense]]*Tabela1[[#This Row],[Health]])*Tabela1[[#This Row],[Dexterity]])/100</f>
        <v>0.13348816758762178</v>
      </c>
      <c r="V10" s="59">
        <f>(SQRT(Tabela1[[#This Row],[Health]]*Tabela1[[#This Row],[Dexterity]])+SQRT((Tabela1[[#This Row],[Defense]]*Tabela1[[#This Row],[Fight back chance]])*(Tabela1[[#This Row],[Damage]]*Tabela1[[#This Row],[Maximum damage chance]])))/2</f>
        <v>9.1422021652747514</v>
      </c>
    </row>
    <row r="11" spans="1:22" ht="18.75" customHeight="1" x14ac:dyDescent="0.25">
      <c r="A11" s="32" t="s">
        <v>74</v>
      </c>
      <c r="B11" s="40" t="s">
        <v>15</v>
      </c>
      <c r="C11" s="96">
        <v>5</v>
      </c>
      <c r="D11" s="47" t="s">
        <v>14</v>
      </c>
      <c r="E11" s="22">
        <v>3</v>
      </c>
      <c r="F11" s="71">
        <v>1</v>
      </c>
      <c r="G11" s="93" t="s">
        <v>24</v>
      </c>
      <c r="H11" s="23">
        <f>(VLOOKUP(Tabela1[[#This Row],[Weapon]],WeaponStat[],2,FALSE)*VLOOKUP(Tabela1[[#This Row],[Extra Elemental]],ElementList[],2,FALSE))/2</f>
        <v>6</v>
      </c>
      <c r="I11" s="23">
        <f>VLOOKUP(Tabela1[[#This Row],[Weapon]],WeaponStat[],3,FALSE)+VLOOKUP(Tabela1[[#This Row],[Extra Elemental]],ElementList[],3,FALSE)</f>
        <v>5</v>
      </c>
      <c r="J11" s="24">
        <f>(VLOOKUP(Tabela1[[#This Row],[Weapon]],WeaponStat[],4,FALSE)/VLOOKUP(Tabela1[[#This Row],[Extra Elemental]],ElementList[],4,FALSE))</f>
        <v>0.9</v>
      </c>
      <c r="K11" s="45">
        <f>(VLOOKUP(Tabela1[[#This Row],[Weapon]],WeaponStat[],5,FALSE)+VLOOKUP(Tabela1[[#This Row],[Extra Elemental]],ElementList[],5,FALSE))</f>
        <v>20</v>
      </c>
      <c r="L11" s="99" t="s">
        <v>60</v>
      </c>
      <c r="M11" s="76">
        <v>116</v>
      </c>
      <c r="N11" s="22">
        <v>66</v>
      </c>
      <c r="O11" s="77">
        <v>8</v>
      </c>
      <c r="P11" s="53">
        <f>Tabela1[[#This Row],[Lifespan]]*Tabela1[[#This Row],[Range]]*Tabela1[[#This Row],[Speed3]]</f>
        <v>15</v>
      </c>
      <c r="Q11" s="23">
        <f>Tabela1[[#This Row],[Range]]*Tabela1[[#This Row],[Speed3]]*Tabela1[[#This Row],[Speed]]*VLOOKUP(Tabela1[[#This Row],[Weapon]],WeaponStat[],7,FALSE)</f>
        <v>6.666666666666667</v>
      </c>
      <c r="R11" s="23">
        <f>(Tabela1[[#This Row],[Force]]*Tabela1[[#This Row],[Speed]])*VLOOKUP(Tabela1[[#This Row],[Weapon]],WeaponStat[],8,FALSE)</f>
        <v>67.5</v>
      </c>
      <c r="S11" s="24">
        <f>Tabela1[[#This Row],[Dexterity]]/(Tabela1[[#This Row],[Dexterity]]+Tabela1[[#This Row],[Health]])</f>
        <v>0.30769230769230771</v>
      </c>
      <c r="T11" s="23">
        <f>Tabela1[[#This Row],[Speed]]*Tabela1[[#This Row],[Range]]*Tabela1[[#This Row],[Lifespan]]*VLOOKUP(Tabela1[[#This Row],[Weapon]],WeaponStat[],7,FALSE)</f>
        <v>33.333333333333336</v>
      </c>
      <c r="U11" s="54">
        <f>SQRT(SQRT(Tabela1[[#This Row],[Defense]]*Tabela1[[#This Row],[Health]])*Tabela1[[#This Row],[Dexterity]])/100</f>
        <v>0.12209471671615688</v>
      </c>
      <c r="V11" s="59">
        <f>(SQRT(Tabela1[[#This Row],[Health]]*Tabela1[[#This Row],[Dexterity]])+SQRT((Tabela1[[#This Row],[Defense]]*Tabela1[[#This Row],[Fight back chance]])*(Tabela1[[#This Row],[Damage]]*Tabela1[[#This Row],[Maximum damage chance]])))/2</f>
        <v>9.5969313561528189</v>
      </c>
    </row>
    <row r="12" spans="1:22" ht="18.75" customHeight="1" x14ac:dyDescent="0.25">
      <c r="A12" s="32" t="s">
        <v>57</v>
      </c>
      <c r="B12" s="41" t="s">
        <v>21</v>
      </c>
      <c r="C12" s="97">
        <v>8</v>
      </c>
      <c r="D12" s="48" t="s">
        <v>14</v>
      </c>
      <c r="E12" s="25">
        <v>3</v>
      </c>
      <c r="F12" s="72">
        <v>1</v>
      </c>
      <c r="G12" s="92" t="s">
        <v>49</v>
      </c>
      <c r="H12" s="26">
        <f>(VLOOKUP(Tabela1[[#This Row],[Weapon]],WeaponStat[],2,FALSE)*VLOOKUP(Tabela1[[#This Row],[Extra Elemental]],ElementList[],2,FALSE))/2</f>
        <v>6</v>
      </c>
      <c r="I12" s="26">
        <f>VLOOKUP(Tabela1[[#This Row],[Weapon]],WeaponStat[],3,FALSE)+VLOOKUP(Tabela1[[#This Row],[Extra Elemental]],ElementList[],3,FALSE)</f>
        <v>3</v>
      </c>
      <c r="J12" s="27">
        <f>(VLOOKUP(Tabela1[[#This Row],[Weapon]],WeaponStat[],4,FALSE)/VLOOKUP(Tabela1[[#This Row],[Extra Elemental]],ElementList[],4,FALSE))</f>
        <v>0.8</v>
      </c>
      <c r="K12" s="86">
        <f>(VLOOKUP(Tabela1[[#This Row],[Weapon]],WeaponStat[],5,FALSE)+VLOOKUP(Tabela1[[#This Row],[Extra Elemental]],ElementList[],5,FALSE))</f>
        <v>30</v>
      </c>
      <c r="L12" s="99" t="s">
        <v>60</v>
      </c>
      <c r="M12" s="78">
        <v>66</v>
      </c>
      <c r="N12" s="25">
        <v>36</v>
      </c>
      <c r="O12" s="79">
        <v>6</v>
      </c>
      <c r="P12" s="55">
        <f>Tabela1[[#This Row],[Lifespan]]*Tabela1[[#This Row],[Range]]*Tabela1[[#This Row],[Speed3]]</f>
        <v>24</v>
      </c>
      <c r="Q12" s="26">
        <f>Tabela1[[#This Row],[Range]]*Tabela1[[#This Row],[Speed3]]*Tabela1[[#This Row],[Speed]]*VLOOKUP(Tabela1[[#This Row],[Weapon]],WeaponStat[],7,FALSE)</f>
        <v>6.7499999999999991</v>
      </c>
      <c r="R12" s="26">
        <f>(Tabela1[[#This Row],[Force]]*Tabela1[[#This Row],[Speed]])*VLOOKUP(Tabela1[[#This Row],[Weapon]],WeaponStat[],8,FALSE)</f>
        <v>24.000000000000004</v>
      </c>
      <c r="S12" s="27">
        <f>Tabela1[[#This Row],[Dexterity]]/(Tabela1[[#This Row],[Dexterity]]+Tabela1[[#This Row],[Health]])</f>
        <v>0.21951219512195119</v>
      </c>
      <c r="T12" s="26">
        <f>Tabela1[[#This Row],[Speed]]*Tabela1[[#This Row],[Range]]*Tabela1[[#This Row],[Lifespan]]*VLOOKUP(Tabela1[[#This Row],[Weapon]],WeaponStat[],7,FALSE)</f>
        <v>53.999999999999993</v>
      </c>
      <c r="U12" s="54">
        <f>SQRT(SQRT(Tabela1[[#This Row],[Defense]]*Tabela1[[#This Row],[Health]])*Tabela1[[#This Row],[Dexterity]])/100</f>
        <v>0.15588457268119893</v>
      </c>
      <c r="V12" s="59">
        <f>(SQRT(Tabela1[[#This Row],[Health]]*Tabela1[[#This Row],[Dexterity]])+SQRT((Tabela1[[#This Row],[Defense]]*Tabela1[[#This Row],[Fight back chance]])*(Tabela1[[#This Row],[Damage]]*Tabela1[[#This Row],[Maximum damage chance]])))/2</f>
        <v>9.6936479490102485</v>
      </c>
    </row>
    <row r="13" spans="1:22" ht="18.75" customHeight="1" x14ac:dyDescent="0.25">
      <c r="A13" s="33" t="s">
        <v>58</v>
      </c>
      <c r="B13" s="41" t="s">
        <v>38</v>
      </c>
      <c r="C13" s="97">
        <v>8</v>
      </c>
      <c r="D13" s="48" t="s">
        <v>22</v>
      </c>
      <c r="E13" s="25">
        <v>3</v>
      </c>
      <c r="F13" s="72">
        <v>1</v>
      </c>
      <c r="G13" s="92" t="s">
        <v>39</v>
      </c>
      <c r="H13" s="26">
        <f>(VLOOKUP(Tabela1[[#This Row],[Weapon]],WeaponStat[],2,FALSE)*VLOOKUP(Tabela1[[#This Row],[Extra Elemental]],ElementList[],2,FALSE))/2</f>
        <v>8</v>
      </c>
      <c r="I13" s="26">
        <f>VLOOKUP(Tabela1[[#This Row],[Weapon]],WeaponStat[],3,FALSE)+VLOOKUP(Tabela1[[#This Row],[Extra Elemental]],ElementList[],3,FALSE)</f>
        <v>3</v>
      </c>
      <c r="J13" s="27">
        <f>(VLOOKUP(Tabela1[[#This Row],[Weapon]],WeaponStat[],4,FALSE)/VLOOKUP(Tabela1[[#This Row],[Extra Elemental]],ElementList[],4,FALSE))</f>
        <v>1</v>
      </c>
      <c r="K13" s="46">
        <f>(VLOOKUP(Tabela1[[#This Row],[Weapon]],WeaponStat[],5,FALSE)+VLOOKUP(Tabela1[[#This Row],[Extra Elemental]],ElementList[],5,FALSE))</f>
        <v>40</v>
      </c>
      <c r="L13" s="99" t="s">
        <v>60</v>
      </c>
      <c r="M13" s="78">
        <v>15</v>
      </c>
      <c r="N13" s="25">
        <v>20</v>
      </c>
      <c r="O13" s="79">
        <v>21</v>
      </c>
      <c r="P13" s="55">
        <f>Tabela1[[#This Row],[Lifespan]]*Tabela1[[#This Row],[Range]]*Tabela1[[#This Row],[Speed3]]</f>
        <v>24</v>
      </c>
      <c r="Q13" s="26">
        <f>Tabela1[[#This Row],[Range]]*Tabela1[[#This Row],[Speed3]]*Tabela1[[#This Row],[Speed]]*VLOOKUP(Tabela1[[#This Row],[Weapon]],WeaponStat[],7,FALSE)</f>
        <v>7.2</v>
      </c>
      <c r="R13" s="26">
        <f>(Tabela1[[#This Row],[Force]]*Tabela1[[#This Row],[Speed]])*VLOOKUP(Tabela1[[#This Row],[Weapon]],WeaponStat[],8,FALSE)</f>
        <v>30</v>
      </c>
      <c r="S13" s="27">
        <f>Tabela1[[#This Row],[Dexterity]]/(Tabela1[[#This Row],[Dexterity]]+Tabela1[[#This Row],[Health]])</f>
        <v>0.23076923076923078</v>
      </c>
      <c r="T13" s="26">
        <f>Tabela1[[#This Row],[Speed]]*Tabela1[[#This Row],[Range]]*Tabela1[[#This Row],[Lifespan]]*VLOOKUP(Tabela1[[#This Row],[Weapon]],WeaponStat[],7,FALSE)</f>
        <v>57.6</v>
      </c>
      <c r="U13" s="54">
        <f>SQRT(SQRT(Tabela1[[#This Row],[Defense]]*Tabela1[[#This Row],[Health]])*Tabela1[[#This Row],[Dexterity]])/100</f>
        <v>0.1636155887713199</v>
      </c>
      <c r="V13" s="59">
        <f>(SQRT(Tabela1[[#This Row],[Health]]*Tabela1[[#This Row],[Dexterity]])+SQRT((Tabela1[[#This Row],[Defense]]*Tabela1[[#This Row],[Fight back chance]])*(Tabela1[[#This Row],[Damage]]*Tabela1[[#This Row],[Maximum damage chance]])))/2</f>
        <v>10.611385289912857</v>
      </c>
    </row>
    <row r="14" spans="1:22" ht="18.75" customHeight="1" x14ac:dyDescent="0.25">
      <c r="A14" s="33" t="s">
        <v>58</v>
      </c>
      <c r="B14" s="41" t="s">
        <v>32</v>
      </c>
      <c r="C14" s="97">
        <v>8</v>
      </c>
      <c r="D14" s="48" t="s">
        <v>14</v>
      </c>
      <c r="E14" s="25">
        <v>3</v>
      </c>
      <c r="F14" s="72">
        <v>1</v>
      </c>
      <c r="G14" s="92" t="s">
        <v>33</v>
      </c>
      <c r="H14" s="26">
        <f>(VLOOKUP(Tabela1[[#This Row],[Weapon]],WeaponStat[],2,FALSE)*VLOOKUP(Tabela1[[#This Row],[Extra Elemental]],ElementList[],2,FALSE))/2</f>
        <v>4</v>
      </c>
      <c r="I14" s="26">
        <f>VLOOKUP(Tabela1[[#This Row],[Weapon]],WeaponStat[],3,FALSE)+VLOOKUP(Tabela1[[#This Row],[Extra Elemental]],ElementList[],3,FALSE)</f>
        <v>3</v>
      </c>
      <c r="J14" s="27">
        <f>(VLOOKUP(Tabela1[[#This Row],[Weapon]],WeaponStat[],4,FALSE)/VLOOKUP(Tabela1[[#This Row],[Extra Elemental]],ElementList[],4,FALSE))</f>
        <v>0.8</v>
      </c>
      <c r="K14" s="86">
        <f>(VLOOKUP(Tabela1[[#This Row],[Weapon]],WeaponStat[],5,FALSE)+VLOOKUP(Tabela1[[#This Row],[Extra Elemental]],ElementList[],5,FALSE))</f>
        <v>40</v>
      </c>
      <c r="L14" s="99" t="s">
        <v>60</v>
      </c>
      <c r="M14" s="78">
        <v>70</v>
      </c>
      <c r="N14" s="25">
        <v>40</v>
      </c>
      <c r="O14" s="79">
        <v>8</v>
      </c>
      <c r="P14" s="55">
        <f>Tabela1[[#This Row],[Lifespan]]*Tabela1[[#This Row],[Range]]*Tabela1[[#This Row],[Speed3]]</f>
        <v>24</v>
      </c>
      <c r="Q14" s="26">
        <f>Tabela1[[#This Row],[Range]]*Tabela1[[#This Row],[Speed3]]*Tabela1[[#This Row],[Speed]]*VLOOKUP(Tabela1[[#This Row],[Weapon]],WeaponStat[],7,FALSE)</f>
        <v>9</v>
      </c>
      <c r="R14" s="26">
        <f>(Tabela1[[#This Row],[Force]]*Tabela1[[#This Row],[Speed]])*VLOOKUP(Tabela1[[#This Row],[Weapon]],WeaponStat[],8,FALSE)</f>
        <v>12</v>
      </c>
      <c r="S14" s="27">
        <f>Tabela1[[#This Row],[Dexterity]]/(Tabela1[[#This Row],[Dexterity]]+Tabela1[[#This Row],[Health]])</f>
        <v>0.27272727272727271</v>
      </c>
      <c r="T14" s="26">
        <f>Tabela1[[#This Row],[Speed]]*Tabela1[[#This Row],[Range]]*Tabela1[[#This Row],[Lifespan]]*VLOOKUP(Tabela1[[#This Row],[Weapon]],WeaponStat[],7,FALSE)</f>
        <v>72</v>
      </c>
      <c r="U14" s="54">
        <f>SQRT(SQRT(Tabela1[[#This Row],[Defense]]*Tabela1[[#This Row],[Health]])*Tabela1[[#This Row],[Dexterity]])/100</f>
        <v>0.19342258772823753</v>
      </c>
      <c r="V14" s="59">
        <f>(SQRT(Tabela1[[#This Row],[Health]]*Tabela1[[#This Row],[Dexterity]])+SQRT((Tabela1[[#This Row],[Defense]]*Tabela1[[#This Row],[Fight back chance]])*(Tabela1[[#This Row],[Damage]]*Tabela1[[#This Row],[Maximum damage chance]])))/2</f>
        <v>10.72402085798792</v>
      </c>
    </row>
    <row r="15" spans="1:22" ht="18.75" customHeight="1" x14ac:dyDescent="0.25">
      <c r="A15" s="33" t="s">
        <v>58</v>
      </c>
      <c r="B15" s="41" t="s">
        <v>35</v>
      </c>
      <c r="C15" s="97">
        <v>10</v>
      </c>
      <c r="D15" s="48" t="s">
        <v>22</v>
      </c>
      <c r="E15" s="25">
        <v>5</v>
      </c>
      <c r="F15" s="72">
        <v>0.75</v>
      </c>
      <c r="G15" s="92" t="s">
        <v>24</v>
      </c>
      <c r="H15" s="26">
        <f>(VLOOKUP(Tabela1[[#This Row],[Weapon]],WeaponStat[],2,FALSE)*VLOOKUP(Tabela1[[#This Row],[Extra Elemental]],ElementList[],2,FALSE))/2</f>
        <v>6</v>
      </c>
      <c r="I15" s="26">
        <f>VLOOKUP(Tabela1[[#This Row],[Weapon]],WeaponStat[],3,FALSE)+VLOOKUP(Tabela1[[#This Row],[Extra Elemental]],ElementList[],3,FALSE)</f>
        <v>5</v>
      </c>
      <c r="J15" s="27">
        <f>(VLOOKUP(Tabela1[[#This Row],[Weapon]],WeaponStat[],4,FALSE)/VLOOKUP(Tabela1[[#This Row],[Extra Elemental]],ElementList[],4,FALSE))</f>
        <v>0.9</v>
      </c>
      <c r="K15" s="46">
        <f>(VLOOKUP(Tabela1[[#This Row],[Weapon]],WeaponStat[],5,FALSE)+VLOOKUP(Tabela1[[#This Row],[Extra Elemental]],ElementList[],5,FALSE))</f>
        <v>20</v>
      </c>
      <c r="L15" s="99" t="s">
        <v>60</v>
      </c>
      <c r="M15" s="78">
        <v>78</v>
      </c>
      <c r="N15" s="25">
        <v>48</v>
      </c>
      <c r="O15" s="79">
        <v>9</v>
      </c>
      <c r="P15" s="55">
        <f>Tabela1[[#This Row],[Lifespan]]*Tabela1[[#This Row],[Range]]*Tabela1[[#This Row],[Speed3]]</f>
        <v>37.5</v>
      </c>
      <c r="Q15" s="26">
        <f>Tabela1[[#This Row],[Range]]*Tabela1[[#This Row],[Speed3]]*Tabela1[[#This Row],[Speed]]*VLOOKUP(Tabela1[[#This Row],[Weapon]],WeaponStat[],7,FALSE)</f>
        <v>8.3333333333333339</v>
      </c>
      <c r="R15" s="26">
        <f>(Tabela1[[#This Row],[Force]]*Tabela1[[#This Row],[Speed]])*VLOOKUP(Tabela1[[#This Row],[Weapon]],WeaponStat[],8,FALSE)</f>
        <v>67.5</v>
      </c>
      <c r="S15" s="27">
        <f>Tabela1[[#This Row],[Dexterity]]/(Tabela1[[#This Row],[Dexterity]]+Tabela1[[#This Row],[Health]])</f>
        <v>0.18181818181818182</v>
      </c>
      <c r="T15" s="26">
        <f>Tabela1[[#This Row],[Speed]]*Tabela1[[#This Row],[Range]]*Tabela1[[#This Row],[Lifespan]]*VLOOKUP(Tabela1[[#This Row],[Weapon]],WeaponStat[],7,FALSE)</f>
        <v>111.11111111111111</v>
      </c>
      <c r="U15" s="54">
        <f>SQRT(SQRT(Tabela1[[#This Row],[Defense]]*Tabela1[[#This Row],[Health]])*Tabela1[[#This Row],[Dexterity]])/100</f>
        <v>0.2319298069761451</v>
      </c>
      <c r="V15" s="59">
        <f>(SQRT(Tabela1[[#This Row],[Health]]*Tabela1[[#This Row],[Dexterity]])+SQRT((Tabela1[[#This Row],[Defense]]*Tabela1[[#This Row],[Fight back chance]])*(Tabela1[[#This Row],[Damage]]*Tabela1[[#This Row],[Maximum damage chance]])))/2</f>
        <v>17.730796283583405</v>
      </c>
    </row>
    <row r="16" spans="1:22" ht="18.75" customHeight="1" x14ac:dyDescent="0.25">
      <c r="A16" s="32" t="s">
        <v>57</v>
      </c>
      <c r="B16" s="41" t="s">
        <v>23</v>
      </c>
      <c r="C16" s="97">
        <v>15</v>
      </c>
      <c r="D16" s="48" t="s">
        <v>22</v>
      </c>
      <c r="E16" s="25">
        <v>4</v>
      </c>
      <c r="F16" s="72">
        <v>1</v>
      </c>
      <c r="G16" s="92" t="s">
        <v>24</v>
      </c>
      <c r="H16" s="26">
        <f>(VLOOKUP(Tabela1[[#This Row],[Weapon]],WeaponStat[],2,FALSE)*VLOOKUP(Tabela1[[#This Row],[Extra Elemental]],ElementList[],2,FALSE))/2</f>
        <v>6</v>
      </c>
      <c r="I16" s="26">
        <f>VLOOKUP(Tabela1[[#This Row],[Weapon]],WeaponStat[],3,FALSE)+VLOOKUP(Tabela1[[#This Row],[Extra Elemental]],ElementList[],3,FALSE)</f>
        <v>5</v>
      </c>
      <c r="J16" s="27">
        <f>(VLOOKUP(Tabela1[[#This Row],[Weapon]],WeaponStat[],4,FALSE)/VLOOKUP(Tabela1[[#This Row],[Extra Elemental]],ElementList[],4,FALSE))</f>
        <v>0.9</v>
      </c>
      <c r="K16" s="86">
        <f>(VLOOKUP(Tabela1[[#This Row],[Weapon]],WeaponStat[],5,FALSE)+VLOOKUP(Tabela1[[#This Row],[Extra Elemental]],ElementList[],5,FALSE))</f>
        <v>20</v>
      </c>
      <c r="L16" s="99" t="s">
        <v>60</v>
      </c>
      <c r="M16" s="78">
        <v>116</v>
      </c>
      <c r="N16" s="25">
        <v>66</v>
      </c>
      <c r="O16" s="79">
        <v>8</v>
      </c>
      <c r="P16" s="55">
        <f>Tabela1[[#This Row],[Lifespan]]*Tabela1[[#This Row],[Range]]*Tabela1[[#This Row],[Speed3]]</f>
        <v>60</v>
      </c>
      <c r="Q16" s="26">
        <f>Tabela1[[#This Row],[Range]]*Tabela1[[#This Row],[Speed3]]*Tabela1[[#This Row],[Speed]]*VLOOKUP(Tabela1[[#This Row],[Weapon]],WeaponStat[],7,FALSE)</f>
        <v>8.8888888888888893</v>
      </c>
      <c r="R16" s="26">
        <f>(Tabela1[[#This Row],[Force]]*Tabela1[[#This Row],[Speed]])*VLOOKUP(Tabela1[[#This Row],[Weapon]],WeaponStat[],8,FALSE)</f>
        <v>67.5</v>
      </c>
      <c r="S16" s="27">
        <f>Tabela1[[#This Row],[Dexterity]]/(Tabela1[[#This Row],[Dexterity]]+Tabela1[[#This Row],[Health]])</f>
        <v>0.12903225806451615</v>
      </c>
      <c r="T16" s="26">
        <f>Tabela1[[#This Row],[Speed]]*Tabela1[[#This Row],[Range]]*Tabela1[[#This Row],[Lifespan]]*VLOOKUP(Tabela1[[#This Row],[Weapon]],WeaponStat[],7,FALSE)</f>
        <v>133.33333333333334</v>
      </c>
      <c r="U16" s="54">
        <f>SQRT(SQRT(Tabela1[[#This Row],[Defense]]*Tabela1[[#This Row],[Health]])*Tabela1[[#This Row],[Dexterity]])/100</f>
        <v>0.28196567025081709</v>
      </c>
      <c r="V16" s="59">
        <f>(SQRT(Tabela1[[#This Row],[Health]]*Tabela1[[#This Row],[Dexterity]])+SQRT((Tabela1[[#This Row],[Defense]]*Tabela1[[#This Row],[Fight back chance]])*(Tabela1[[#This Row],[Damage]]*Tabela1[[#This Row],[Maximum damage chance]])))/2</f>
        <v>20.594712333100713</v>
      </c>
    </row>
    <row r="17" spans="1:22" ht="18.75" customHeight="1" x14ac:dyDescent="0.25">
      <c r="A17" s="33" t="s">
        <v>58</v>
      </c>
      <c r="B17" s="41" t="s">
        <v>30</v>
      </c>
      <c r="C17" s="97">
        <v>15</v>
      </c>
      <c r="D17" s="48" t="s">
        <v>14</v>
      </c>
      <c r="E17" s="25">
        <v>3</v>
      </c>
      <c r="F17" s="72">
        <v>1</v>
      </c>
      <c r="G17" s="92" t="s">
        <v>31</v>
      </c>
      <c r="H17" s="26">
        <f>(VLOOKUP(Tabela1[[#This Row],[Weapon]],WeaponStat[],2,FALSE)*VLOOKUP(Tabela1[[#This Row],[Extra Elemental]],ElementList[],2,FALSE))/2</f>
        <v>8</v>
      </c>
      <c r="I17" s="26">
        <f>VLOOKUP(Tabela1[[#This Row],[Weapon]],WeaponStat[],3,FALSE)+VLOOKUP(Tabela1[[#This Row],[Extra Elemental]],ElementList[],3,FALSE)</f>
        <v>6</v>
      </c>
      <c r="J17" s="27">
        <f>(VLOOKUP(Tabela1[[#This Row],[Weapon]],WeaponStat[],4,FALSE)/VLOOKUP(Tabela1[[#This Row],[Extra Elemental]],ElementList[],4,FALSE))</f>
        <v>0.8</v>
      </c>
      <c r="K17" s="86">
        <f>(VLOOKUP(Tabela1[[#This Row],[Weapon]],WeaponStat[],5,FALSE)+VLOOKUP(Tabela1[[#This Row],[Extra Elemental]],ElementList[],5,FALSE))</f>
        <v>30</v>
      </c>
      <c r="L17" s="99" t="s">
        <v>60</v>
      </c>
      <c r="M17" s="78">
        <v>126</v>
      </c>
      <c r="N17" s="25">
        <v>66</v>
      </c>
      <c r="O17" s="79">
        <v>6</v>
      </c>
      <c r="P17" s="55">
        <f>Tabela1[[#This Row],[Lifespan]]*Tabela1[[#This Row],[Range]]*Tabela1[[#This Row],[Speed3]]</f>
        <v>45</v>
      </c>
      <c r="Q17" s="26">
        <f>Tabela1[[#This Row],[Range]]*Tabela1[[#This Row],[Speed3]]*Tabela1[[#This Row],[Speed]]*VLOOKUP(Tabela1[[#This Row],[Weapon]],WeaponStat[],7,FALSE)</f>
        <v>13.499999999999998</v>
      </c>
      <c r="R17" s="26">
        <f>(Tabela1[[#This Row],[Force]]*Tabela1[[#This Row],[Speed]])*VLOOKUP(Tabela1[[#This Row],[Weapon]],WeaponStat[],8,FALSE)</f>
        <v>64</v>
      </c>
      <c r="S17" s="27">
        <f>Tabela1[[#This Row],[Dexterity]]/(Tabela1[[#This Row],[Dexterity]]+Tabela1[[#This Row],[Health]])</f>
        <v>0.23076923076923073</v>
      </c>
      <c r="T17" s="26">
        <f>Tabela1[[#This Row],[Speed]]*Tabela1[[#This Row],[Range]]*Tabela1[[#This Row],[Lifespan]]*VLOOKUP(Tabela1[[#This Row],[Weapon]],WeaponStat[],7,FALSE)</f>
        <v>202.49999999999997</v>
      </c>
      <c r="U17" s="54">
        <f>SQRT(SQRT(Tabela1[[#This Row],[Defense]]*Tabela1[[#This Row],[Health]])*Tabela1[[#This Row],[Dexterity]])/100</f>
        <v>0.35898497304378674</v>
      </c>
      <c r="V17" s="59">
        <f>(SQRT(Tabela1[[#This Row],[Health]]*Tabela1[[#This Row],[Dexterity]])+SQRT((Tabela1[[#This Row],[Defense]]*Tabela1[[#This Row],[Fight back chance]])*(Tabela1[[#This Row],[Damage]]*Tabela1[[#This Row],[Maximum damage chance]])))/2</f>
        <v>28.706989914859747</v>
      </c>
    </row>
    <row r="18" spans="1:22" ht="18.75" customHeight="1" x14ac:dyDescent="0.25">
      <c r="A18" s="33" t="s">
        <v>58</v>
      </c>
      <c r="B18" s="41" t="s">
        <v>36</v>
      </c>
      <c r="C18" s="97">
        <v>17</v>
      </c>
      <c r="D18" s="48" t="s">
        <v>22</v>
      </c>
      <c r="E18" s="25">
        <v>4</v>
      </c>
      <c r="F18" s="72">
        <v>1</v>
      </c>
      <c r="G18" s="92" t="s">
        <v>37</v>
      </c>
      <c r="H18" s="26">
        <f>(VLOOKUP(Tabela1[[#This Row],[Weapon]],WeaponStat[],2,FALSE)*VLOOKUP(Tabela1[[#This Row],[Extra Elemental]],ElementList[],2,FALSE))/2</f>
        <v>11</v>
      </c>
      <c r="I18" s="26">
        <f>VLOOKUP(Tabela1[[#This Row],[Weapon]],WeaponStat[],3,FALSE)+VLOOKUP(Tabela1[[#This Row],[Extra Elemental]],ElementList[],3,FALSE)</f>
        <v>4</v>
      </c>
      <c r="J18" s="27">
        <f>(VLOOKUP(Tabela1[[#This Row],[Weapon]],WeaponStat[],4,FALSE)/VLOOKUP(Tabela1[[#This Row],[Extra Elemental]],ElementList[],4,FALSE))</f>
        <v>1.2</v>
      </c>
      <c r="K18" s="46">
        <f>(VLOOKUP(Tabela1[[#This Row],[Weapon]],WeaponStat[],5,FALSE)+VLOOKUP(Tabela1[[#This Row],[Extra Elemental]],ElementList[],5,FALSE))</f>
        <v>50</v>
      </c>
      <c r="L18" s="99" t="s">
        <v>60</v>
      </c>
      <c r="M18" s="78">
        <v>92</v>
      </c>
      <c r="N18" s="25">
        <v>52</v>
      </c>
      <c r="O18" s="79">
        <v>7</v>
      </c>
      <c r="P18" s="55">
        <f>Tabela1[[#This Row],[Lifespan]]*Tabela1[[#This Row],[Range]]*Tabela1[[#This Row],[Speed3]]</f>
        <v>68</v>
      </c>
      <c r="Q18" s="26">
        <f>Tabela1[[#This Row],[Range]]*Tabela1[[#This Row],[Speed3]]*Tabela1[[#This Row],[Speed]]*VLOOKUP(Tabela1[[#This Row],[Weapon]],WeaponStat[],7,FALSE)</f>
        <v>13.333333333333334</v>
      </c>
      <c r="R18" s="26">
        <f>(Tabela1[[#This Row],[Force]]*Tabela1[[#This Row],[Speed]])*VLOOKUP(Tabela1[[#This Row],[Weapon]],WeaponStat[],8,FALSE)</f>
        <v>52.8</v>
      </c>
      <c r="S18" s="27">
        <f>Tabela1[[#This Row],[Dexterity]]/(Tabela1[[#This Row],[Dexterity]]+Tabela1[[#This Row],[Health]])</f>
        <v>0.16393442622950821</v>
      </c>
      <c r="T18" s="26">
        <f>Tabela1[[#This Row],[Speed]]*Tabela1[[#This Row],[Range]]*Tabela1[[#This Row],[Lifespan]]*VLOOKUP(Tabela1[[#This Row],[Weapon]],WeaponStat[],7,FALSE)</f>
        <v>226.66666666666669</v>
      </c>
      <c r="U18" s="54">
        <f>SQRT(SQRT(Tabela1[[#This Row],[Defense]]*Tabela1[[#This Row],[Health]])*Tabela1[[#This Row],[Dexterity]])/100</f>
        <v>0.40685860995000489</v>
      </c>
      <c r="V18" s="59">
        <f>(SQRT(Tabela1[[#This Row],[Health]]*Tabela1[[#This Row],[Dexterity]])+SQRT((Tabela1[[#This Row],[Defense]]*Tabela1[[#This Row],[Fight back chance]])*(Tabela1[[#This Row],[Damage]]*Tabela1[[#This Row],[Maximum damage chance]])))/2</f>
        <v>29.18205254853406</v>
      </c>
    </row>
    <row r="19" spans="1:22" ht="18.75" customHeight="1" x14ac:dyDescent="0.25">
      <c r="A19" s="32" t="s">
        <v>57</v>
      </c>
      <c r="B19" s="41" t="s">
        <v>50</v>
      </c>
      <c r="C19" s="97">
        <v>12</v>
      </c>
      <c r="D19" s="48" t="s">
        <v>22</v>
      </c>
      <c r="E19" s="25">
        <v>5</v>
      </c>
      <c r="F19" s="72">
        <v>1</v>
      </c>
      <c r="G19" s="92" t="s">
        <v>37</v>
      </c>
      <c r="H19" s="26">
        <f>(VLOOKUP(Tabela1[[#This Row],[Weapon]],WeaponStat[],2,FALSE)*VLOOKUP(Tabela1[[#This Row],[Extra Elemental]],ElementList[],2,FALSE))/2</f>
        <v>11</v>
      </c>
      <c r="I19" s="26">
        <f>VLOOKUP(Tabela1[[#This Row],[Weapon]],WeaponStat[],3,FALSE)+VLOOKUP(Tabela1[[#This Row],[Extra Elemental]],ElementList[],3,FALSE)</f>
        <v>4</v>
      </c>
      <c r="J19" s="27">
        <f>(VLOOKUP(Tabela1[[#This Row],[Weapon]],WeaponStat[],4,FALSE)/VLOOKUP(Tabela1[[#This Row],[Extra Elemental]],ElementList[],4,FALSE))</f>
        <v>1.2</v>
      </c>
      <c r="K19" s="86">
        <f>(VLOOKUP(Tabela1[[#This Row],[Weapon]],WeaponStat[],5,FALSE)+VLOOKUP(Tabela1[[#This Row],[Extra Elemental]],ElementList[],5,FALSE))</f>
        <v>50</v>
      </c>
      <c r="L19" s="99" t="s">
        <v>60</v>
      </c>
      <c r="M19" s="78">
        <v>15</v>
      </c>
      <c r="N19" s="25">
        <v>20</v>
      </c>
      <c r="O19" s="79">
        <v>21</v>
      </c>
      <c r="P19" s="55">
        <f>Tabela1[[#This Row],[Lifespan]]*Tabela1[[#This Row],[Range]]*Tabela1[[#This Row],[Speed3]]</f>
        <v>60</v>
      </c>
      <c r="Q19" s="26">
        <f>Tabela1[[#This Row],[Range]]*Tabela1[[#This Row],[Speed3]]*Tabela1[[#This Row],[Speed]]*VLOOKUP(Tabela1[[#This Row],[Weapon]],WeaponStat[],7,FALSE)</f>
        <v>16.666666666666668</v>
      </c>
      <c r="R19" s="26">
        <f>(Tabela1[[#This Row],[Force]]*Tabela1[[#This Row],[Speed]])*VLOOKUP(Tabela1[[#This Row],[Weapon]],WeaponStat[],8,FALSE)</f>
        <v>52.8</v>
      </c>
      <c r="S19" s="27">
        <f>Tabela1[[#This Row],[Dexterity]]/(Tabela1[[#This Row],[Dexterity]]+Tabela1[[#This Row],[Health]])</f>
        <v>0.21739130434782608</v>
      </c>
      <c r="T19" s="26">
        <f>Tabela1[[#This Row],[Speed]]*Tabela1[[#This Row],[Range]]*Tabela1[[#This Row],[Lifespan]]*VLOOKUP(Tabela1[[#This Row],[Weapon]],WeaponStat[],7,FALSE)</f>
        <v>200</v>
      </c>
      <c r="U19" s="54">
        <f>SQRT(SQRT(Tabela1[[#This Row],[Defense]]*Tabela1[[#This Row],[Health]])*Tabela1[[#This Row],[Dexterity]])/100</f>
        <v>0.42728700639623413</v>
      </c>
      <c r="V19" s="59">
        <f>(SQRT(Tabela1[[#This Row],[Health]]*Tabela1[[#This Row],[Dexterity]])+SQRT((Tabela1[[#This Row],[Defense]]*Tabela1[[#This Row],[Fight back chance]])*(Tabela1[[#This Row],[Damage]]*Tabela1[[#This Row],[Maximum damage chance]])))/2</f>
        <v>31.471068574703743</v>
      </c>
    </row>
    <row r="20" spans="1:22" ht="18.75" customHeight="1" x14ac:dyDescent="0.25">
      <c r="A20" s="32" t="s">
        <v>57</v>
      </c>
      <c r="B20" s="41" t="s">
        <v>12</v>
      </c>
      <c r="C20" s="97">
        <v>6</v>
      </c>
      <c r="D20" s="48" t="s">
        <v>14</v>
      </c>
      <c r="E20" s="25">
        <v>4</v>
      </c>
      <c r="F20" s="72">
        <v>1</v>
      </c>
      <c r="G20" s="92" t="s">
        <v>13</v>
      </c>
      <c r="H20" s="26">
        <f>(VLOOKUP(Tabela1[[#This Row],[Weapon]],WeaponStat[],2,FALSE)*VLOOKUP(Tabela1[[#This Row],[Extra Elemental]],ElementList[],2,FALSE))/2</f>
        <v>7</v>
      </c>
      <c r="I20" s="26">
        <f>VLOOKUP(Tabela1[[#This Row],[Weapon]],WeaponStat[],3,FALSE)+VLOOKUP(Tabela1[[#This Row],[Extra Elemental]],ElementList[],3,FALSE)</f>
        <v>7</v>
      </c>
      <c r="J20" s="27">
        <f>(VLOOKUP(Tabela1[[#This Row],[Weapon]],WeaponStat[],4,FALSE)/VLOOKUP(Tabela1[[#This Row],[Extra Elemental]],ElementList[],4,FALSE))</f>
        <v>0.6</v>
      </c>
      <c r="K20" s="86">
        <f>(VLOOKUP(Tabela1[[#This Row],[Weapon]],WeaponStat[],5,FALSE)+VLOOKUP(Tabela1[[#This Row],[Extra Elemental]],ElementList[],5,FALSE))</f>
        <v>30</v>
      </c>
      <c r="L20" s="99" t="s">
        <v>60</v>
      </c>
      <c r="M20" s="78">
        <v>138</v>
      </c>
      <c r="N20" s="25">
        <v>78</v>
      </c>
      <c r="O20" s="79">
        <v>6</v>
      </c>
      <c r="P20" s="55">
        <f>Tabela1[[#This Row],[Lifespan]]*Tabela1[[#This Row],[Range]]*Tabela1[[#This Row],[Speed3]]</f>
        <v>24</v>
      </c>
      <c r="Q20" s="26">
        <f>Tabela1[[#This Row],[Range]]*Tabela1[[#This Row],[Speed3]]*Tabela1[[#This Row],[Speed]]*VLOOKUP(Tabela1[[#This Row],[Weapon]],WeaponStat[],7,FALSE)</f>
        <v>28</v>
      </c>
      <c r="R20" s="26">
        <f>(Tabela1[[#This Row],[Force]]*Tabela1[[#This Row],[Speed]])*VLOOKUP(Tabela1[[#This Row],[Weapon]],WeaponStat[],8,FALSE)</f>
        <v>49</v>
      </c>
      <c r="S20" s="27">
        <f>Tabela1[[#This Row],[Dexterity]]/(Tabela1[[#This Row],[Dexterity]]+Tabela1[[#This Row],[Health]])</f>
        <v>0.53846153846153844</v>
      </c>
      <c r="T20" s="26">
        <f>Tabela1[[#This Row],[Speed]]*Tabela1[[#This Row],[Range]]*Tabela1[[#This Row],[Lifespan]]*VLOOKUP(Tabela1[[#This Row],[Weapon]],WeaponStat[],7,FALSE)</f>
        <v>168</v>
      </c>
      <c r="U20" s="54">
        <f>SQRT(SQRT(Tabela1[[#This Row],[Defense]]*Tabela1[[#This Row],[Health]])*Tabela1[[#This Row],[Dexterity]])/100</f>
        <v>0.42165683689884659</v>
      </c>
      <c r="V20" s="59">
        <f>(SQRT(Tabela1[[#This Row],[Health]]*Tabela1[[#This Row],[Dexterity]])+SQRT((Tabela1[[#This Row],[Defense]]*Tabela1[[#This Row],[Fight back chance]])*(Tabela1[[#This Row],[Damage]]*Tabela1[[#This Row],[Maximum damage chance]])))/2</f>
        <v>34.577693959763046</v>
      </c>
    </row>
    <row r="21" spans="1:22" ht="18.75" customHeight="1" thickBot="1" x14ac:dyDescent="0.3">
      <c r="A21" s="34" t="s">
        <v>58</v>
      </c>
      <c r="B21" s="42" t="s">
        <v>28</v>
      </c>
      <c r="C21" s="98">
        <v>6</v>
      </c>
      <c r="D21" s="49" t="s">
        <v>14</v>
      </c>
      <c r="E21" s="35">
        <v>3</v>
      </c>
      <c r="F21" s="73">
        <v>1</v>
      </c>
      <c r="G21" s="94" t="s">
        <v>29</v>
      </c>
      <c r="H21" s="36">
        <f>(VLOOKUP(Tabela1[[#This Row],[Weapon]],WeaponStat[],2,FALSE)*VLOOKUP(Tabela1[[#This Row],[Extra Elemental]],ElementList[],2,FALSE))/2</f>
        <v>9</v>
      </c>
      <c r="I21" s="36">
        <f>VLOOKUP(Tabela1[[#This Row],[Weapon]],WeaponStat[],3,FALSE)+VLOOKUP(Tabela1[[#This Row],[Extra Elemental]],ElementList[],3,FALSE)</f>
        <v>7</v>
      </c>
      <c r="J21" s="37">
        <f>(VLOOKUP(Tabela1[[#This Row],[Weapon]],WeaponStat[],4,FALSE)/VLOOKUP(Tabela1[[#This Row],[Extra Elemental]],ElementList[],4,FALSE))</f>
        <v>0.6</v>
      </c>
      <c r="K21" s="90">
        <f>(VLOOKUP(Tabela1[[#This Row],[Weapon]],WeaponStat[],5,FALSE)+VLOOKUP(Tabela1[[#This Row],[Extra Elemental]],ElementList[],5,FALSE))</f>
        <v>50</v>
      </c>
      <c r="L21" s="100" t="s">
        <v>60</v>
      </c>
      <c r="M21" s="80">
        <v>143</v>
      </c>
      <c r="N21" s="81">
        <v>73</v>
      </c>
      <c r="O21" s="82">
        <v>7</v>
      </c>
      <c r="P21" s="56">
        <f>Tabela1[[#This Row],[Lifespan]]*Tabela1[[#This Row],[Range]]*Tabela1[[#This Row],[Speed3]]</f>
        <v>18</v>
      </c>
      <c r="Q21" s="57">
        <f>Tabela1[[#This Row],[Range]]*Tabela1[[#This Row],[Speed3]]*Tabela1[[#This Row],[Speed]]*VLOOKUP(Tabela1[[#This Row],[Weapon]],WeaponStat[],7,FALSE)</f>
        <v>35</v>
      </c>
      <c r="R21" s="57">
        <f>(Tabela1[[#This Row],[Force]]*Tabela1[[#This Row],[Speed]])*VLOOKUP(Tabela1[[#This Row],[Weapon]],WeaponStat[],8,FALSE)</f>
        <v>37.799999999999997</v>
      </c>
      <c r="S21" s="85">
        <f>Tabela1[[#This Row],[Dexterity]]/(Tabela1[[#This Row],[Dexterity]]+Tabela1[[#This Row],[Health]])</f>
        <v>0.660377358490566</v>
      </c>
      <c r="T21" s="57">
        <f>Tabela1[[#This Row],[Speed]]*Tabela1[[#This Row],[Range]]*Tabela1[[#This Row],[Lifespan]]*VLOOKUP(Tabela1[[#This Row],[Weapon]],WeaponStat[],7,FALSE)</f>
        <v>210</v>
      </c>
      <c r="U21" s="101">
        <f>SQRT(SQRT(Tabela1[[#This Row],[Defense]]*Tabela1[[#This Row],[Health]])*Tabela1[[#This Row],[Dexterity]])/100</f>
        <v>0.46388141381731557</v>
      </c>
      <c r="V21" s="60">
        <f>(SQRT(Tabela1[[#This Row],[Health]]*Tabela1[[#This Row],[Dexterity]])+SQRT((Tabela1[[#This Row],[Defense]]*Tabela1[[#This Row],[Fight back chance]])*(Tabela1[[#This Row],[Damage]]*Tabela1[[#This Row],[Maximum damage chance]])))/2</f>
        <v>37.206042539211936</v>
      </c>
    </row>
    <row r="22" spans="1:22" ht="18.75" customHeight="1" thickTop="1" x14ac:dyDescent="0.25"/>
  </sheetData>
  <mergeCells count="4">
    <mergeCell ref="M3:O3"/>
    <mergeCell ref="P3:V3"/>
    <mergeCell ref="C3:F3"/>
    <mergeCell ref="G3:L3"/>
  </mergeCells>
  <phoneticPr fontId="6" type="noConversion"/>
  <conditionalFormatting sqref="P6:P21">
    <cfRule type="dataBar" priority="2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{5BFDA3A4-05C8-4A8B-93FD-9A17E67136F8}</x14:id>
        </ext>
      </extLst>
    </cfRule>
  </conditionalFormatting>
  <conditionalFormatting sqref="Q6:Q21">
    <cfRule type="dataBar" priority="2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{9F48FDE0-5905-4553-8CDA-69991893CA08}</x14:id>
        </ext>
      </extLst>
    </cfRule>
  </conditionalFormatting>
  <conditionalFormatting sqref="T6:T21">
    <cfRule type="dataBar" priority="3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{222DE895-D10A-413B-8531-EC6341ADC065}</x14:id>
        </ext>
      </extLst>
    </cfRule>
  </conditionalFormatting>
  <conditionalFormatting sqref="V6:V21">
    <cfRule type="colorScale" priority="3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U6:U21">
    <cfRule type="dataBar" priority="16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{88AF854C-17EB-4BD2-B357-D9841A9BD146}</x14:id>
        </ext>
      </extLst>
    </cfRule>
  </conditionalFormatting>
  <conditionalFormatting sqref="R6:S21">
    <cfRule type="dataBar" priority="3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{7AB6A732-F0DD-48A5-A358-FA0DDF7C076A}</x14:id>
        </ext>
      </extLst>
    </cfRule>
  </conditionalFormatting>
  <conditionalFormatting sqref="H6:H21">
    <cfRule type="dataBar" priority="1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{88CF5625-F3A7-4776-97B0-564222F28E8D}</x14:id>
        </ext>
      </extLst>
    </cfRule>
  </conditionalFormatting>
  <conditionalFormatting sqref="I6:I21">
    <cfRule type="dataBar" priority="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{ACD55CFE-E28A-4839-8BF2-A7059CDBE611}</x14:id>
        </ext>
      </extLst>
    </cfRule>
  </conditionalFormatting>
  <conditionalFormatting sqref="J6:J21">
    <cfRule type="dataBar" priority="9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{C9E000EC-AEB3-4C15-9BCE-79A92A78E7B6}</x14:id>
        </ext>
      </extLst>
    </cfRule>
  </conditionalFormatting>
  <conditionalFormatting sqref="C6:C21">
    <cfRule type="dataBar" priority="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{87B29A73-B902-4873-B879-22A9EF5D6A58}</x14:id>
        </ext>
      </extLst>
    </cfRule>
  </conditionalFormatting>
  <conditionalFormatting sqref="I6:I20">
    <cfRule type="dataBar" priority="1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{7D974FC8-D3A8-456A-83BC-2C10220E7BA3}</x14:id>
        </ext>
      </extLst>
    </cfRule>
  </conditionalFormatting>
  <conditionalFormatting sqref="K6:K21">
    <cfRule type="dataBar" priority="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{B8FF8FD6-86EF-40D5-97F6-2FDEC89E60FD}</x14:id>
        </ext>
      </extLst>
    </cfRule>
  </conditionalFormatting>
  <conditionalFormatting sqref="E6:E21">
    <cfRule type="dataBar" priority="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{6A852127-5C01-4E04-87DB-5EC7206AD89F}</x14:id>
        </ext>
      </extLst>
    </cfRule>
  </conditionalFormatting>
  <conditionalFormatting sqref="F6:F21">
    <cfRule type="dataBar" priority="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{976F45EA-C12F-4CBB-9C6C-0B137A9EE545}</x14:id>
        </ext>
      </extLst>
    </cfRule>
  </conditionalFormatting>
  <conditionalFormatting sqref="S6:S21">
    <cfRule type="dataBar" priority="1">
      <dataBar>
        <cfvo type="percent" val="0"/>
        <cfvo type="percent" val="100"/>
        <color rgb="FFFF555A"/>
      </dataBar>
      <extLst>
        <ext xmlns:x14="http://schemas.microsoft.com/office/spreadsheetml/2009/9/main" uri="{B025F937-C7B1-47D3-B67F-A62EFF666E3E}">
          <x14:id>{0ADC0E9A-68FF-453A-AE89-46637FFCBFB4}</x14:id>
        </ext>
      </extLst>
    </cfRule>
  </conditionalFormatting>
  <dataValidations disablePrompts="1" count="2">
    <dataValidation type="list" allowBlank="1" showInputMessage="1" showErrorMessage="1" sqref="G6:G21" xr:uid="{87B486FF-FCA3-4561-AE7F-2C3F21267004}">
      <formula1>weapon</formula1>
    </dataValidation>
    <dataValidation type="list" allowBlank="1" showInputMessage="1" showErrorMessage="1" sqref="L6:L21" xr:uid="{7B10B6D9-8CCF-4B7F-9494-71CD3D557C92}">
      <formula1>Elemental</formula1>
    </dataValidation>
  </dataValidations>
  <pageMargins left="0.25" right="0.25" top="0.75" bottom="0.75" header="0.3" footer="0.3"/>
  <pageSetup paperSize="9" scale="65" fitToHeight="0" orientation="landscape" blackAndWhite="1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BFDA3A4-05C8-4A8B-93FD-9A17E67136F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P6:P21</xm:sqref>
        </x14:conditionalFormatting>
        <x14:conditionalFormatting xmlns:xm="http://schemas.microsoft.com/office/excel/2006/main">
          <x14:cfRule type="dataBar" id="{9F48FDE0-5905-4553-8CDA-69991893CA0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Q6:Q21</xm:sqref>
        </x14:conditionalFormatting>
        <x14:conditionalFormatting xmlns:xm="http://schemas.microsoft.com/office/excel/2006/main">
          <x14:cfRule type="dataBar" id="{222DE895-D10A-413B-8531-EC6341ADC065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T6:T21</xm:sqref>
        </x14:conditionalFormatting>
        <x14:conditionalFormatting xmlns:xm="http://schemas.microsoft.com/office/excel/2006/main">
          <x14:cfRule type="dataBar" id="{88AF854C-17EB-4BD2-B357-D9841A9BD146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U6:U21</xm:sqref>
        </x14:conditionalFormatting>
        <x14:conditionalFormatting xmlns:xm="http://schemas.microsoft.com/office/excel/2006/main">
          <x14:cfRule type="dataBar" id="{7AB6A732-F0DD-48A5-A358-FA0DDF7C076A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R6:S21</xm:sqref>
        </x14:conditionalFormatting>
        <x14:conditionalFormatting xmlns:xm="http://schemas.microsoft.com/office/excel/2006/main">
          <x14:cfRule type="dataBar" id="{88CF5625-F3A7-4776-97B0-564222F28E8D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H6:H21</xm:sqref>
        </x14:conditionalFormatting>
        <x14:conditionalFormatting xmlns:xm="http://schemas.microsoft.com/office/excel/2006/main">
          <x14:cfRule type="dataBar" id="{ACD55CFE-E28A-4839-8BF2-A7059CDBE61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I6:I21</xm:sqref>
        </x14:conditionalFormatting>
        <x14:conditionalFormatting xmlns:xm="http://schemas.microsoft.com/office/excel/2006/main">
          <x14:cfRule type="dataBar" id="{C9E000EC-AEB3-4C15-9BCE-79A92A78E7B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J6:J21</xm:sqref>
        </x14:conditionalFormatting>
        <x14:conditionalFormatting xmlns:xm="http://schemas.microsoft.com/office/excel/2006/main">
          <x14:cfRule type="dataBar" id="{87B29A73-B902-4873-B879-22A9EF5D6A5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C6:C21</xm:sqref>
        </x14:conditionalFormatting>
        <x14:conditionalFormatting xmlns:xm="http://schemas.microsoft.com/office/excel/2006/main">
          <x14:cfRule type="dataBar" id="{7D974FC8-D3A8-456A-83BC-2C10220E7BA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I6:I20</xm:sqref>
        </x14:conditionalFormatting>
        <x14:conditionalFormatting xmlns:xm="http://schemas.microsoft.com/office/excel/2006/main">
          <x14:cfRule type="dataBar" id="{B8FF8FD6-86EF-40D5-97F6-2FDEC89E60FD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K6:K21</xm:sqref>
        </x14:conditionalFormatting>
        <x14:conditionalFormatting xmlns:xm="http://schemas.microsoft.com/office/excel/2006/main">
          <x14:cfRule type="dataBar" id="{6A852127-5C01-4E04-87DB-5EC7206AD89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E6:E21</xm:sqref>
        </x14:conditionalFormatting>
        <x14:conditionalFormatting xmlns:xm="http://schemas.microsoft.com/office/excel/2006/main">
          <x14:cfRule type="dataBar" id="{976F45EA-C12F-4CBB-9C6C-0B137A9EE54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F6:F21</xm:sqref>
        </x14:conditionalFormatting>
        <x14:conditionalFormatting xmlns:xm="http://schemas.microsoft.com/office/excel/2006/main">
          <x14:cfRule type="dataBar" id="{0ADC0E9A-68FF-453A-AE89-46637FFCBFB4}">
            <x14:dataBar minLength="0" maxLength="100" border="1" negativeBarBorderColorSameAsPositive="0">
              <x14:cfvo type="percent">
                <xm:f>0</xm:f>
              </x14:cfvo>
              <x14:cfvo type="percent">
                <xm:f>100</xm:f>
              </x14:cfvo>
              <x14:borderColor rgb="FFFF555A"/>
              <x14:negativeFillColor rgb="FFFF0000"/>
              <x14:negativeBorderColor rgb="FFFF0000"/>
              <x14:axisColor rgb="FF000000"/>
            </x14:dataBar>
          </x14:cfRule>
          <xm:sqref>S6:S21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F134D4-4B68-4826-91A6-4E06FF606F08}">
  <dimension ref="A1:S23"/>
  <sheetViews>
    <sheetView showGridLines="0" showRowColHeaders="0" zoomScale="120" zoomScaleNormal="120" workbookViewId="0">
      <pane ySplit="3" topLeftCell="A10" activePane="bottomLeft" state="frozen"/>
      <selection pane="bottomLeft" activeCell="B9" sqref="B9:H9"/>
    </sheetView>
  </sheetViews>
  <sheetFormatPr defaultRowHeight="18.75" customHeight="1" x14ac:dyDescent="0.25"/>
  <cols>
    <col min="1" max="1" width="17.28515625" bestFit="1" customWidth="1"/>
    <col min="4" max="4" width="10" customWidth="1"/>
    <col min="5" max="5" width="10.85546875" customWidth="1"/>
    <col min="6" max="6" width="12" customWidth="1"/>
    <col min="7" max="7" width="13" customWidth="1"/>
    <col min="8" max="8" width="12" customWidth="1"/>
    <col min="9" max="9" width="12.28515625" bestFit="1" customWidth="1"/>
    <col min="11" max="12" width="13" bestFit="1" customWidth="1"/>
  </cols>
  <sheetData>
    <row r="1" spans="1:19" s="14" customFormat="1" ht="22.5" customHeight="1" x14ac:dyDescent="0.3">
      <c r="A1" s="15" t="s">
        <v>55</v>
      </c>
    </row>
    <row r="2" spans="1:19" ht="7.5" customHeight="1" x14ac:dyDescent="0.25"/>
    <row r="3" spans="1:19" ht="37.5" customHeight="1" x14ac:dyDescent="0.25">
      <c r="A3" s="5" t="s">
        <v>2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72</v>
      </c>
      <c r="G3" s="6" t="s">
        <v>87</v>
      </c>
      <c r="H3" s="6" t="s">
        <v>88</v>
      </c>
      <c r="I3" s="5" t="s">
        <v>3</v>
      </c>
      <c r="J3" s="10" t="s">
        <v>79</v>
      </c>
      <c r="L3" s="16" t="s">
        <v>79</v>
      </c>
      <c r="M3" s="17" t="s">
        <v>4</v>
      </c>
      <c r="N3" s="17" t="s">
        <v>5</v>
      </c>
      <c r="O3" s="17" t="s">
        <v>6</v>
      </c>
      <c r="P3" s="17" t="s">
        <v>7</v>
      </c>
      <c r="Q3" s="17" t="s">
        <v>72</v>
      </c>
      <c r="R3" s="83" t="s">
        <v>80</v>
      </c>
      <c r="S3" s="83" t="s">
        <v>81</v>
      </c>
    </row>
    <row r="4" spans="1:19" ht="18.75" customHeight="1" x14ac:dyDescent="0.25">
      <c r="A4" s="89" t="s">
        <v>75</v>
      </c>
      <c r="B4" s="6">
        <v>2</v>
      </c>
      <c r="C4" s="6">
        <v>3</v>
      </c>
      <c r="D4" s="20">
        <v>0.25</v>
      </c>
      <c r="E4" s="6">
        <v>10</v>
      </c>
      <c r="F4" s="87">
        <f>(WeaponStat[[#This Row],[Force]]*WeaponStat[[#This Row],[Speed]])*WeaponStat[[#This Row],[Interval]]</f>
        <v>1.5</v>
      </c>
      <c r="G4" s="102">
        <f>(((WeaponStat[[#This Row],[Duration]]/50))/WeaponStat[[#This Row],[Interval]])</f>
        <v>0.8</v>
      </c>
      <c r="H4" s="11">
        <f>1/(((WeaponStat[[#This Row],[Duration]]/50))/WeaponStat[[#This Row],[Interval]])</f>
        <v>1.25</v>
      </c>
      <c r="I4" s="10"/>
      <c r="J4" s="6"/>
      <c r="L4" s="4" t="s">
        <v>41</v>
      </c>
      <c r="M4" s="1">
        <v>5</v>
      </c>
      <c r="N4" s="1">
        <v>4</v>
      </c>
      <c r="O4" s="2">
        <v>0.7</v>
      </c>
      <c r="P4" s="1">
        <v>50</v>
      </c>
      <c r="Q4" s="1">
        <f>(ElementList[[#This Row],[Force]]*ElementList[[#This Row],[Speed]])*ElementList[[#This Row],[Interval]]</f>
        <v>14</v>
      </c>
      <c r="R4" s="11">
        <f>(((ElementList[[#This Row],[Duration]]/50))/ElementList[[#This Row],[Interval]])</f>
        <v>1.4285714285714286</v>
      </c>
      <c r="S4" s="11">
        <f>1/(((ElementList[[#This Row],[Duration]]/50))/ElementList[[#This Row],[Interval]])</f>
        <v>0.7</v>
      </c>
    </row>
    <row r="5" spans="1:19" ht="18.75" customHeight="1" x14ac:dyDescent="0.25">
      <c r="A5" s="8" t="s">
        <v>86</v>
      </c>
      <c r="B5" s="7">
        <v>5</v>
      </c>
      <c r="C5" s="7">
        <v>2</v>
      </c>
      <c r="D5" s="9">
        <v>0.4</v>
      </c>
      <c r="E5" s="7">
        <v>15</v>
      </c>
      <c r="F5" s="88">
        <f>(WeaponStat[[#This Row],[Force]]*WeaponStat[[#This Row],[Speed]])*WeaponStat[[#This Row],[Interval]]</f>
        <v>4</v>
      </c>
      <c r="G5" s="103">
        <f>(((WeaponStat[[#This Row],[Duration]]/50))/WeaponStat[[#This Row],[Interval]])</f>
        <v>0.74999999999999989</v>
      </c>
      <c r="H5" s="12">
        <f>1/(((WeaponStat[[#This Row],[Duration]]/50))/WeaponStat[[#This Row],[Interval]])</f>
        <v>1.3333333333333335</v>
      </c>
      <c r="I5" s="6" t="s">
        <v>2</v>
      </c>
      <c r="J5" s="6"/>
      <c r="L5" s="4" t="s">
        <v>42</v>
      </c>
      <c r="M5" s="1">
        <v>9</v>
      </c>
      <c r="N5" s="1">
        <v>5</v>
      </c>
      <c r="O5" s="2">
        <v>0.6</v>
      </c>
      <c r="P5" s="1">
        <v>50</v>
      </c>
      <c r="Q5" s="1">
        <f>(ElementList[[#This Row],[Force]]*ElementList[[#This Row],[Speed]])*ElementList[[#This Row],[Interval]]</f>
        <v>27</v>
      </c>
      <c r="R5" s="11">
        <f>(((ElementList[[#This Row],[Duration]]/50))/ElementList[[#This Row],[Interval]])</f>
        <v>1.6666666666666667</v>
      </c>
      <c r="S5" s="11">
        <f>1/(((ElementList[[#This Row],[Duration]]/50))/ElementList[[#This Row],[Interval]])</f>
        <v>0.6</v>
      </c>
    </row>
    <row r="6" spans="1:19" ht="18.75" customHeight="1" x14ac:dyDescent="0.25">
      <c r="A6" s="8" t="s">
        <v>27</v>
      </c>
      <c r="B6" s="7">
        <v>5</v>
      </c>
      <c r="C6" s="7">
        <v>3</v>
      </c>
      <c r="D6" s="9">
        <v>0.4</v>
      </c>
      <c r="E6" s="7">
        <v>15</v>
      </c>
      <c r="F6" s="88">
        <f>(WeaponStat[[#This Row],[Force]]*WeaponStat[[#This Row],[Speed]])*WeaponStat[[#This Row],[Interval]]</f>
        <v>6</v>
      </c>
      <c r="G6" s="103">
        <f>(((WeaponStat[[#This Row],[Duration]]/50))/WeaponStat[[#This Row],[Interval]])</f>
        <v>0.74999999999999989</v>
      </c>
      <c r="H6" s="12">
        <f>1/(((WeaponStat[[#This Row],[Duration]]/50))/WeaponStat[[#This Row],[Interval]])</f>
        <v>1.3333333333333335</v>
      </c>
      <c r="I6" s="6" t="s">
        <v>2</v>
      </c>
      <c r="J6" s="6"/>
      <c r="L6" s="4" t="s">
        <v>43</v>
      </c>
      <c r="M6" s="1">
        <v>9</v>
      </c>
      <c r="N6" s="1">
        <v>3</v>
      </c>
      <c r="O6" s="2">
        <v>1</v>
      </c>
      <c r="P6" s="1">
        <v>50</v>
      </c>
      <c r="Q6" s="1">
        <f>(ElementList[[#This Row],[Force]]*ElementList[[#This Row],[Speed]])*ElementList[[#This Row],[Interval]]</f>
        <v>27</v>
      </c>
      <c r="R6" s="11">
        <f>(((ElementList[[#This Row],[Duration]]/50))/ElementList[[#This Row],[Interval]])</f>
        <v>1</v>
      </c>
      <c r="S6" s="11">
        <f>1/(((ElementList[[#This Row],[Duration]]/50))/ElementList[[#This Row],[Interval]])</f>
        <v>1</v>
      </c>
    </row>
    <row r="7" spans="1:19" ht="18.75" customHeight="1" x14ac:dyDescent="0.25">
      <c r="A7" s="8" t="s">
        <v>33</v>
      </c>
      <c r="B7" s="7">
        <v>4</v>
      </c>
      <c r="C7" s="7">
        <v>3</v>
      </c>
      <c r="D7" s="9">
        <v>0.8</v>
      </c>
      <c r="E7" s="7">
        <v>40</v>
      </c>
      <c r="F7" s="88">
        <f>(WeaponStat[[#This Row],[Force]]*WeaponStat[[#This Row],[Speed]])*WeaponStat[[#This Row],[Interval]]</f>
        <v>9.6000000000000014</v>
      </c>
      <c r="G7" s="103">
        <f>(((WeaponStat[[#This Row],[Duration]]/50))/WeaponStat[[#This Row],[Interval]])</f>
        <v>1</v>
      </c>
      <c r="H7" s="12">
        <f>1/(((WeaponStat[[#This Row],[Duration]]/50))/WeaponStat[[#This Row],[Interval]])</f>
        <v>1</v>
      </c>
      <c r="I7" s="6" t="s">
        <v>2</v>
      </c>
      <c r="J7" s="6" t="s">
        <v>44</v>
      </c>
      <c r="L7" s="4" t="s">
        <v>44</v>
      </c>
      <c r="M7" s="1">
        <v>6</v>
      </c>
      <c r="N7" s="1">
        <v>3</v>
      </c>
      <c r="O7" s="2">
        <v>1</v>
      </c>
      <c r="P7" s="1">
        <v>50</v>
      </c>
      <c r="Q7" s="1">
        <f>(ElementList[[#This Row],[Force]]*ElementList[[#This Row],[Speed]])*ElementList[[#This Row],[Interval]]</f>
        <v>18</v>
      </c>
      <c r="R7" s="11">
        <f>(((ElementList[[#This Row],[Duration]]/50))/ElementList[[#This Row],[Interval]])</f>
        <v>1</v>
      </c>
      <c r="S7" s="11">
        <f>1/(((ElementList[[#This Row],[Duration]]/50))/ElementList[[#This Row],[Interval]])</f>
        <v>1</v>
      </c>
    </row>
    <row r="8" spans="1:19" ht="18.75" customHeight="1" x14ac:dyDescent="0.25">
      <c r="A8" s="4" t="s">
        <v>25</v>
      </c>
      <c r="B8" s="1">
        <v>7</v>
      </c>
      <c r="C8" s="1">
        <v>2</v>
      </c>
      <c r="D8" s="2">
        <v>1</v>
      </c>
      <c r="E8" s="1">
        <v>50</v>
      </c>
      <c r="F8" s="3">
        <f>(WeaponStat[[#This Row],[Force]]*WeaponStat[[#This Row],[Speed]])*WeaponStat[[#This Row],[Interval]]</f>
        <v>14</v>
      </c>
      <c r="G8" s="102">
        <f>(((WeaponStat[[#This Row],[Duration]]/50))/WeaponStat[[#This Row],[Interval]])</f>
        <v>1</v>
      </c>
      <c r="H8" s="11">
        <f>1/(((WeaponStat[[#This Row],[Duration]]/50))/WeaponStat[[#This Row],[Interval]])</f>
        <v>1</v>
      </c>
      <c r="I8" s="6" t="s">
        <v>54</v>
      </c>
      <c r="J8" s="6" t="s">
        <v>42</v>
      </c>
      <c r="L8" s="18" t="s">
        <v>60</v>
      </c>
      <c r="M8" s="13">
        <v>2</v>
      </c>
      <c r="N8" s="13">
        <v>0</v>
      </c>
      <c r="O8" s="19">
        <v>1</v>
      </c>
      <c r="P8" s="13">
        <v>0</v>
      </c>
      <c r="Q8" s="13">
        <f>(ElementList[[#This Row],[Force]]*ElementList[[#This Row],[Speed]])*ElementList[[#This Row],[Interval]]</f>
        <v>0</v>
      </c>
      <c r="R8" s="11">
        <f>(((ElementList[[#This Row],[Duration]]/50))/ElementList[[#This Row],[Interval]])</f>
        <v>0</v>
      </c>
      <c r="S8" s="11" t="e">
        <f>1/(((ElementList[[#This Row],[Duration]]/50))/ElementList[[#This Row],[Interval]])</f>
        <v>#DIV/0!</v>
      </c>
    </row>
    <row r="9" spans="1:19" ht="18.75" customHeight="1" x14ac:dyDescent="0.25">
      <c r="A9" s="8" t="s">
        <v>49</v>
      </c>
      <c r="B9" s="7">
        <v>6</v>
      </c>
      <c r="C9" s="7">
        <v>3</v>
      </c>
      <c r="D9" s="9">
        <v>0.8</v>
      </c>
      <c r="E9" s="7">
        <v>30</v>
      </c>
      <c r="F9" s="88">
        <f>(WeaponStat[[#This Row],[Force]]*WeaponStat[[#This Row],[Speed]])*WeaponStat[[#This Row],[Interval]]</f>
        <v>14.4</v>
      </c>
      <c r="G9" s="103">
        <f>(((WeaponStat[[#This Row],[Duration]]/50))/WeaponStat[[#This Row],[Interval]])</f>
        <v>0.74999999999999989</v>
      </c>
      <c r="H9" s="12">
        <f>1/(((WeaponStat[[#This Row],[Duration]]/50))/WeaponStat[[#This Row],[Interval]])</f>
        <v>1.3333333333333335</v>
      </c>
      <c r="I9" s="6" t="s">
        <v>2</v>
      </c>
      <c r="J9" s="6"/>
    </row>
    <row r="10" spans="1:19" ht="18.75" customHeight="1" x14ac:dyDescent="0.25">
      <c r="A10" s="8" t="s">
        <v>18</v>
      </c>
      <c r="B10" s="7">
        <v>5</v>
      </c>
      <c r="C10" s="7">
        <v>4</v>
      </c>
      <c r="D10" s="9">
        <v>0.8</v>
      </c>
      <c r="E10" s="7">
        <v>20</v>
      </c>
      <c r="F10" s="88">
        <f>(WeaponStat[[#This Row],[Force]]*WeaponStat[[#This Row],[Speed]])*WeaponStat[[#This Row],[Interval]]</f>
        <v>16</v>
      </c>
      <c r="G10" s="103">
        <f>(((WeaponStat[[#This Row],[Duration]]/50))/WeaponStat[[#This Row],[Interval]])</f>
        <v>0.5</v>
      </c>
      <c r="H10" s="12">
        <f>1/(((WeaponStat[[#This Row],[Duration]]/50))/WeaponStat[[#This Row],[Interval]])</f>
        <v>2</v>
      </c>
      <c r="I10" s="6" t="s">
        <v>2</v>
      </c>
      <c r="J10" s="6"/>
    </row>
    <row r="11" spans="1:19" ht="18.75" customHeight="1" x14ac:dyDescent="0.25">
      <c r="A11" s="4" t="s">
        <v>39</v>
      </c>
      <c r="B11" s="1">
        <v>8</v>
      </c>
      <c r="C11" s="1">
        <v>3</v>
      </c>
      <c r="D11" s="2">
        <v>1</v>
      </c>
      <c r="E11" s="1">
        <v>40</v>
      </c>
      <c r="F11" s="3">
        <f>(WeaponStat[[#This Row],[Force]]*WeaponStat[[#This Row],[Speed]])*WeaponStat[[#This Row],[Interval]]</f>
        <v>24</v>
      </c>
      <c r="G11" s="102">
        <f>(((WeaponStat[[#This Row],[Duration]]/50))/WeaponStat[[#This Row],[Interval]])</f>
        <v>0.8</v>
      </c>
      <c r="H11" s="11">
        <f>1/(((WeaponStat[[#This Row],[Duration]]/50))/WeaponStat[[#This Row],[Interval]])</f>
        <v>1.25</v>
      </c>
      <c r="I11" s="6" t="s">
        <v>54</v>
      </c>
      <c r="J11" s="6" t="s">
        <v>41</v>
      </c>
    </row>
    <row r="12" spans="1:19" ht="18.75" customHeight="1" x14ac:dyDescent="0.25">
      <c r="A12" s="4" t="s">
        <v>24</v>
      </c>
      <c r="B12" s="1">
        <v>6</v>
      </c>
      <c r="C12" s="1">
        <v>5</v>
      </c>
      <c r="D12" s="2">
        <v>0.9</v>
      </c>
      <c r="E12" s="1">
        <v>20</v>
      </c>
      <c r="F12" s="3">
        <f>(WeaponStat[[#This Row],[Force]]*WeaponStat[[#This Row],[Speed]])*WeaponStat[[#This Row],[Interval]]</f>
        <v>27</v>
      </c>
      <c r="G12" s="102">
        <f>(((WeaponStat[[#This Row],[Duration]]/50))/WeaponStat[[#This Row],[Interval]])</f>
        <v>0.44444444444444448</v>
      </c>
      <c r="H12" s="11">
        <f>1/(((WeaponStat[[#This Row],[Duration]]/50))/WeaponStat[[#This Row],[Interval]])</f>
        <v>2.25</v>
      </c>
      <c r="I12" s="6" t="s">
        <v>54</v>
      </c>
      <c r="J12" s="6" t="s">
        <v>41</v>
      </c>
    </row>
    <row r="13" spans="1:19" ht="18.75" customHeight="1" x14ac:dyDescent="0.25">
      <c r="A13" s="4" t="s">
        <v>13</v>
      </c>
      <c r="B13" s="1">
        <v>7</v>
      </c>
      <c r="C13" s="1">
        <v>7</v>
      </c>
      <c r="D13" s="2">
        <v>0.6</v>
      </c>
      <c r="E13" s="1">
        <v>30</v>
      </c>
      <c r="F13" s="3">
        <f>(WeaponStat[[#This Row],[Force]]*WeaponStat[[#This Row],[Speed]])*WeaponStat[[#This Row],[Interval]]</f>
        <v>29.4</v>
      </c>
      <c r="G13" s="102">
        <f>(((WeaponStat[[#This Row],[Duration]]/50))/WeaponStat[[#This Row],[Interval]])</f>
        <v>1</v>
      </c>
      <c r="H13" s="11">
        <f>1/(((WeaponStat[[#This Row],[Duration]]/50))/WeaponStat[[#This Row],[Interval]])</f>
        <v>1</v>
      </c>
      <c r="I13" s="6" t="s">
        <v>54</v>
      </c>
      <c r="J13" s="6" t="s">
        <v>42</v>
      </c>
    </row>
    <row r="14" spans="1:19" ht="18.75" customHeight="1" x14ac:dyDescent="0.25">
      <c r="A14" s="4" t="s">
        <v>20</v>
      </c>
      <c r="B14" s="1">
        <v>10</v>
      </c>
      <c r="C14" s="1">
        <v>3</v>
      </c>
      <c r="D14" s="2">
        <v>1</v>
      </c>
      <c r="E14" s="1">
        <v>20</v>
      </c>
      <c r="F14" s="3">
        <f>(WeaponStat[[#This Row],[Force]]*WeaponStat[[#This Row],[Speed]])*WeaponStat[[#This Row],[Interval]]</f>
        <v>30</v>
      </c>
      <c r="G14" s="102">
        <f>(((WeaponStat[[#This Row],[Duration]]/50))/WeaponStat[[#This Row],[Interval]])</f>
        <v>0.4</v>
      </c>
      <c r="H14" s="11">
        <f>1/(((WeaponStat[[#This Row],[Duration]]/50))/WeaponStat[[#This Row],[Interval]])</f>
        <v>2.5</v>
      </c>
      <c r="I14" s="6" t="s">
        <v>54</v>
      </c>
      <c r="J14" s="6" t="s">
        <v>43</v>
      </c>
    </row>
    <row r="15" spans="1:19" ht="18.75" customHeight="1" x14ac:dyDescent="0.25">
      <c r="A15" s="4" t="s">
        <v>29</v>
      </c>
      <c r="B15" s="1">
        <v>9</v>
      </c>
      <c r="C15" s="1">
        <v>7</v>
      </c>
      <c r="D15" s="2">
        <v>0.6</v>
      </c>
      <c r="E15" s="1">
        <v>50</v>
      </c>
      <c r="F15" s="3">
        <f>(WeaponStat[[#This Row],[Force]]*WeaponStat[[#This Row],[Speed]])*WeaponStat[[#This Row],[Interval]]</f>
        <v>37.799999999999997</v>
      </c>
      <c r="G15" s="102">
        <f>(((WeaponStat[[#This Row],[Duration]]/50))/WeaponStat[[#This Row],[Interval]])</f>
        <v>1.6666666666666667</v>
      </c>
      <c r="H15" s="11">
        <f>1/(((WeaponStat[[#This Row],[Duration]]/50))/WeaponStat[[#This Row],[Interval]])</f>
        <v>0.6</v>
      </c>
      <c r="I15" s="6" t="s">
        <v>54</v>
      </c>
      <c r="J15" s="6" t="s">
        <v>43</v>
      </c>
    </row>
    <row r="16" spans="1:19" ht="18.75" customHeight="1" x14ac:dyDescent="0.25">
      <c r="A16" s="4" t="s">
        <v>31</v>
      </c>
      <c r="B16" s="1">
        <v>8</v>
      </c>
      <c r="C16" s="1">
        <v>6</v>
      </c>
      <c r="D16" s="2">
        <v>0.8</v>
      </c>
      <c r="E16" s="1">
        <v>30</v>
      </c>
      <c r="F16" s="3">
        <f>(WeaponStat[[#This Row],[Force]]*WeaponStat[[#This Row],[Speed]])*WeaponStat[[#This Row],[Interval]]</f>
        <v>38.400000000000006</v>
      </c>
      <c r="G16" s="102">
        <f>(((WeaponStat[[#This Row],[Duration]]/50))/WeaponStat[[#This Row],[Interval]])</f>
        <v>0.74999999999999989</v>
      </c>
      <c r="H16" s="11">
        <f>1/(((WeaponStat[[#This Row],[Duration]]/50))/WeaponStat[[#This Row],[Interval]])</f>
        <v>1.3333333333333335</v>
      </c>
      <c r="I16" s="6" t="s">
        <v>54</v>
      </c>
      <c r="J16" s="6" t="s">
        <v>42</v>
      </c>
    </row>
    <row r="17" spans="1:10" ht="18.75" customHeight="1" x14ac:dyDescent="0.25">
      <c r="A17" s="4" t="s">
        <v>16</v>
      </c>
      <c r="B17" s="1">
        <v>10</v>
      </c>
      <c r="C17" s="1">
        <v>5</v>
      </c>
      <c r="D17" s="2">
        <v>0.8</v>
      </c>
      <c r="E17" s="1">
        <v>30</v>
      </c>
      <c r="F17" s="3">
        <f>(WeaponStat[[#This Row],[Force]]*WeaponStat[[#This Row],[Speed]])*WeaponStat[[#This Row],[Interval]]</f>
        <v>40</v>
      </c>
      <c r="G17" s="102">
        <f>(((WeaponStat[[#This Row],[Duration]]/50))/WeaponStat[[#This Row],[Interval]])</f>
        <v>0.74999999999999989</v>
      </c>
      <c r="H17" s="11">
        <f>1/(((WeaponStat[[#This Row],[Duration]]/50))/WeaponStat[[#This Row],[Interval]])</f>
        <v>1.3333333333333335</v>
      </c>
      <c r="I17" s="6" t="s">
        <v>54</v>
      </c>
      <c r="J17" s="6" t="s">
        <v>42</v>
      </c>
    </row>
    <row r="18" spans="1:10" ht="18.75" customHeight="1" x14ac:dyDescent="0.25">
      <c r="A18" s="4" t="s">
        <v>37</v>
      </c>
      <c r="B18" s="1">
        <v>11</v>
      </c>
      <c r="C18" s="1">
        <v>4</v>
      </c>
      <c r="D18" s="2">
        <v>1.2</v>
      </c>
      <c r="E18" s="1">
        <v>50</v>
      </c>
      <c r="F18" s="3">
        <f>(WeaponStat[[#This Row],[Force]]*WeaponStat[[#This Row],[Speed]])*WeaponStat[[#This Row],[Interval]]</f>
        <v>52.8</v>
      </c>
      <c r="G18" s="102">
        <f>(((WeaponStat[[#This Row],[Duration]]/50))/WeaponStat[[#This Row],[Interval]])</f>
        <v>0.83333333333333337</v>
      </c>
      <c r="H18" s="11">
        <f>1/(((WeaponStat[[#This Row],[Duration]]/50))/WeaponStat[[#This Row],[Interval]])</f>
        <v>1.2</v>
      </c>
      <c r="I18" s="6" t="s">
        <v>54</v>
      </c>
      <c r="J18" s="6" t="s">
        <v>42</v>
      </c>
    </row>
    <row r="20" spans="1:10" ht="18.75" customHeight="1" x14ac:dyDescent="0.25">
      <c r="I20" s="6"/>
    </row>
    <row r="21" spans="1:10" ht="18.75" customHeight="1" x14ac:dyDescent="0.25">
      <c r="I21" s="6"/>
    </row>
    <row r="22" spans="1:10" ht="18.75" customHeight="1" x14ac:dyDescent="0.25">
      <c r="I22" s="6"/>
    </row>
    <row r="23" spans="1:10" ht="18.75" customHeight="1" x14ac:dyDescent="0.25">
      <c r="I23" s="6"/>
    </row>
  </sheetData>
  <conditionalFormatting sqref="L4:S8">
    <cfRule type="expression" dxfId="2" priority="14">
      <formula>IF($K24="Weapon",1,0)</formula>
    </cfRule>
  </conditionalFormatting>
  <conditionalFormatting sqref="A5:I8">
    <cfRule type="expression" dxfId="1" priority="16">
      <formula>IF(#REF!="Weapon",1,0)</formula>
    </cfRule>
  </conditionalFormatting>
  <conditionalFormatting sqref="A9:I18">
    <cfRule type="expression" dxfId="0" priority="41">
      <formula>IF($L8="Weapon",1,0)</formula>
    </cfRule>
  </conditionalFormatting>
  <conditionalFormatting sqref="F4:F18">
    <cfRule type="dataBar" priority="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{7DE2FF5D-93E1-4300-8F0E-C4F04A6A1FF7}</x14:id>
        </ext>
      </extLst>
    </cfRule>
  </conditionalFormatting>
  <conditionalFormatting sqref="B4:B18">
    <cfRule type="dataBar" priority="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{55136BF2-3967-498E-8243-23728C669B58}</x14:id>
        </ext>
      </extLst>
    </cfRule>
  </conditionalFormatting>
  <conditionalFormatting sqref="C4:C18">
    <cfRule type="dataBar" priority="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{ED3D8F94-E78C-4580-AAFE-B8DBA2503357}</x14:id>
        </ext>
      </extLst>
    </cfRule>
  </conditionalFormatting>
  <conditionalFormatting sqref="D4:D18">
    <cfRule type="dataBar" priority="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{93BFDD23-4A22-40D8-8787-E4D531E26F11}</x14:id>
        </ext>
      </extLst>
    </cfRule>
  </conditionalFormatting>
  <conditionalFormatting sqref="E4:E18">
    <cfRule type="dataBar" priority="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{EB72D40B-105A-4416-9FEB-9EE8D2D19313}</x14:id>
        </ext>
      </extLst>
    </cfRule>
  </conditionalFormatting>
  <conditionalFormatting sqref="G4:G18">
    <cfRule type="dataBar" priority="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{918E51DB-F13D-46BA-9968-FA1792A5A7FE}</x14:id>
        </ext>
      </extLst>
    </cfRule>
  </conditionalFormatting>
  <conditionalFormatting sqref="H4:H18">
    <cfRule type="dataBar" priority="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{9914C6B1-DD36-47FD-B072-0A7DA5EA0B80}</x14:id>
        </ext>
      </extLst>
    </cfRule>
  </conditionalFormatting>
  <pageMargins left="0.7" right="0.7" top="0.75" bottom="0.75" header="0.3" footer="0.3"/>
  <drawing r:id="rId1"/>
  <tableParts count="2">
    <tablePart r:id="rId2"/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DE2FF5D-93E1-4300-8F0E-C4F04A6A1FF7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F4:F18</xm:sqref>
        </x14:conditionalFormatting>
        <x14:conditionalFormatting xmlns:xm="http://schemas.microsoft.com/office/excel/2006/main">
          <x14:cfRule type="dataBar" id="{55136BF2-3967-498E-8243-23728C669B5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B4:B18</xm:sqref>
        </x14:conditionalFormatting>
        <x14:conditionalFormatting xmlns:xm="http://schemas.microsoft.com/office/excel/2006/main">
          <x14:cfRule type="dataBar" id="{ED3D8F94-E78C-4580-AAFE-B8DBA250335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C4:C18</xm:sqref>
        </x14:conditionalFormatting>
        <x14:conditionalFormatting xmlns:xm="http://schemas.microsoft.com/office/excel/2006/main">
          <x14:cfRule type="dataBar" id="{93BFDD23-4A22-40D8-8787-E4D531E26F1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D4:D18</xm:sqref>
        </x14:conditionalFormatting>
        <x14:conditionalFormatting xmlns:xm="http://schemas.microsoft.com/office/excel/2006/main">
          <x14:cfRule type="dataBar" id="{EB72D40B-105A-4416-9FEB-9EE8D2D1931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E4:E18</xm:sqref>
        </x14:conditionalFormatting>
        <x14:conditionalFormatting xmlns:xm="http://schemas.microsoft.com/office/excel/2006/main">
          <x14:cfRule type="dataBar" id="{918E51DB-F13D-46BA-9968-FA1792A5A7FE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G4:G18</xm:sqref>
        </x14:conditionalFormatting>
        <x14:conditionalFormatting xmlns:xm="http://schemas.microsoft.com/office/excel/2006/main">
          <x14:cfRule type="dataBar" id="{9914C6B1-DD36-47FD-B072-0A7DA5EA0B8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H4:H18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2</vt:i4>
      </vt:variant>
    </vt:vector>
  </HeadingPairs>
  <TitlesOfParts>
    <vt:vector size="4" baseType="lpstr">
      <vt:lpstr>Heros &amp; Monsters</vt:lpstr>
      <vt:lpstr>Weapons &amp; Elemental list</vt:lpstr>
      <vt:lpstr>Elemental</vt:lpstr>
      <vt:lpstr>weapon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Paweł</dc:creator>
  <cp:lastModifiedBy>Paweł</cp:lastModifiedBy>
  <cp:lastPrinted>2020-05-19T06:26:32Z</cp:lastPrinted>
  <dcterms:created xsi:type="dcterms:W3CDTF">2020-05-18T14:55:56Z</dcterms:created>
  <dcterms:modified xsi:type="dcterms:W3CDTF">2020-05-19T13:11:32Z</dcterms:modified>
</cp:coreProperties>
</file>